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gregbeech/Desktop/"/>
    </mc:Choice>
  </mc:AlternateContent>
  <xr:revisionPtr revIDLastSave="0" documentId="8_{38D2DE01-C437-1847-8136-AE42D9C09D99}" xr6:coauthVersionLast="44" xr6:coauthVersionMax="44" xr10:uidLastSave="{00000000-0000-0000-0000-000000000000}"/>
  <bookViews>
    <workbookView xWindow="3560" yWindow="1180" windowWidth="29560" windowHeight="17420" tabRatio="500" xr2:uid="{00000000-000D-0000-FFFF-FFFF00000000}"/>
  </bookViews>
  <sheets>
    <sheet name="Sheet1" sheetId="1" r:id="rId1"/>
  </sheets>
  <calcPr calcId="191029" iterate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52" i="1" l="1"/>
  <c r="L253" i="1"/>
  <c r="C252" i="1"/>
  <c r="D252" i="1"/>
  <c r="E252" i="1"/>
  <c r="F252" i="1"/>
  <c r="H252" i="1"/>
  <c r="I252" i="1"/>
  <c r="J252" i="1"/>
  <c r="K252" i="1"/>
  <c r="C253" i="1"/>
  <c r="G253" i="1"/>
  <c r="K253" i="1"/>
  <c r="J254" i="1"/>
  <c r="B252" i="1"/>
  <c r="C248" i="1"/>
  <c r="C254" i="1" s="1"/>
  <c r="K248" i="1"/>
  <c r="K254" i="1" s="1"/>
  <c r="C249" i="1"/>
  <c r="D249" i="1"/>
  <c r="E249" i="1"/>
  <c r="F249" i="1"/>
  <c r="G249" i="1"/>
  <c r="H249" i="1"/>
  <c r="I249" i="1"/>
  <c r="J249" i="1"/>
  <c r="K249" i="1"/>
  <c r="L249" i="1"/>
  <c r="C250" i="1"/>
  <c r="D250" i="1"/>
  <c r="E250" i="1"/>
  <c r="F250" i="1"/>
  <c r="G250" i="1"/>
  <c r="H250" i="1"/>
  <c r="I250" i="1"/>
  <c r="J250" i="1"/>
  <c r="K250" i="1"/>
  <c r="C251" i="1"/>
  <c r="D251" i="1"/>
  <c r="E251" i="1"/>
  <c r="F251" i="1"/>
  <c r="G251" i="1"/>
  <c r="H251" i="1"/>
  <c r="I251" i="1"/>
  <c r="J251" i="1"/>
  <c r="K251" i="1"/>
  <c r="L251" i="1"/>
  <c r="B251" i="1"/>
  <c r="B250" i="1"/>
  <c r="B249" i="1"/>
  <c r="L242" i="1"/>
  <c r="C243" i="1"/>
  <c r="D243" i="1"/>
  <c r="E243" i="1"/>
  <c r="F243" i="1"/>
  <c r="B243" i="1"/>
  <c r="L56" i="1"/>
  <c r="L57" i="1"/>
  <c r="L250" i="1" s="1"/>
  <c r="L44" i="1"/>
  <c r="L46" i="1"/>
  <c r="L48" i="1"/>
  <c r="L170" i="1"/>
  <c r="L174" i="1"/>
  <c r="L176" i="1"/>
  <c r="L180" i="1"/>
  <c r="L181" i="1"/>
  <c r="L189" i="1"/>
  <c r="L191" i="1"/>
  <c r="L192" i="1"/>
  <c r="L194" i="1"/>
  <c r="L195" i="1"/>
  <c r="L197" i="1"/>
  <c r="L199" i="1"/>
  <c r="L208" i="1"/>
  <c r="L211" i="1"/>
  <c r="L212" i="1"/>
  <c r="L216" i="1"/>
  <c r="L217" i="1"/>
  <c r="L232" i="1" s="1"/>
  <c r="L226" i="1"/>
  <c r="L227" i="1"/>
  <c r="L228" i="1"/>
  <c r="L229" i="1"/>
  <c r="L230" i="1"/>
  <c r="L231" i="1"/>
  <c r="L233" i="1"/>
  <c r="L219" i="1"/>
  <c r="K56" i="1"/>
  <c r="K44" i="1"/>
  <c r="K46" i="1"/>
  <c r="K51" i="1"/>
  <c r="K48" i="1" s="1"/>
  <c r="K243" i="1" s="1"/>
  <c r="K60" i="1"/>
  <c r="K63" i="1"/>
  <c r="K170" i="1"/>
  <c r="K174" i="1"/>
  <c r="K183" i="1"/>
  <c r="K189" i="1"/>
  <c r="K191" i="1"/>
  <c r="K192" i="1"/>
  <c r="K194" i="1"/>
  <c r="K195" i="1"/>
  <c r="K197" i="1"/>
  <c r="K199" i="1"/>
  <c r="K208" i="1"/>
  <c r="K211" i="1"/>
  <c r="K212" i="1"/>
  <c r="K216" i="1"/>
  <c r="K217" i="1"/>
  <c r="K219" i="1"/>
  <c r="J56" i="1"/>
  <c r="J248" i="1" s="1"/>
  <c r="J44" i="1"/>
  <c r="J46" i="1"/>
  <c r="J242" i="1" s="1"/>
  <c r="J50" i="1"/>
  <c r="J60" i="1"/>
  <c r="J63" i="1"/>
  <c r="J253" i="1" s="1"/>
  <c r="J65" i="1"/>
  <c r="J170" i="1"/>
  <c r="J172" i="1"/>
  <c r="J174" i="1"/>
  <c r="J183" i="1"/>
  <c r="J189" i="1"/>
  <c r="J191" i="1"/>
  <c r="J192" i="1"/>
  <c r="J194" i="1"/>
  <c r="J195" i="1"/>
  <c r="J197" i="1"/>
  <c r="J199" i="1"/>
  <c r="J208" i="1"/>
  <c r="J211" i="1"/>
  <c r="J212" i="1"/>
  <c r="J216" i="1"/>
  <c r="J217" i="1"/>
  <c r="J219" i="1"/>
  <c r="I56" i="1"/>
  <c r="I248" i="1" s="1"/>
  <c r="I44" i="1"/>
  <c r="I46" i="1" s="1"/>
  <c r="I49" i="1"/>
  <c r="I51" i="1"/>
  <c r="I48" i="1"/>
  <c r="I60" i="1"/>
  <c r="I62" i="1"/>
  <c r="I253" i="1" s="1"/>
  <c r="I63" i="1"/>
  <c r="I170" i="1"/>
  <c r="I172" i="1"/>
  <c r="I174" i="1"/>
  <c r="I189" i="1"/>
  <c r="I191" i="1"/>
  <c r="I192" i="1"/>
  <c r="I194" i="1"/>
  <c r="I195" i="1"/>
  <c r="I199" i="1"/>
  <c r="I208" i="1"/>
  <c r="I211" i="1"/>
  <c r="I212" i="1"/>
  <c r="I216" i="1"/>
  <c r="I217" i="1"/>
  <c r="I219" i="1"/>
  <c r="H53" i="1"/>
  <c r="H55" i="1"/>
  <c r="H44" i="1"/>
  <c r="H45" i="1"/>
  <c r="H46" i="1"/>
  <c r="H49" i="1"/>
  <c r="H50" i="1"/>
  <c r="H51" i="1"/>
  <c r="H48" i="1"/>
  <c r="H60" i="1"/>
  <c r="H63" i="1"/>
  <c r="H253" i="1" s="1"/>
  <c r="H170" i="1"/>
  <c r="H174" i="1"/>
  <c r="H176" i="1"/>
  <c r="H180" i="1"/>
  <c r="H183" i="1"/>
  <c r="H184" i="1"/>
  <c r="H189" i="1"/>
  <c r="H191" i="1"/>
  <c r="H192" i="1"/>
  <c r="H194" i="1"/>
  <c r="H195" i="1"/>
  <c r="H197" i="1"/>
  <c r="H199" i="1"/>
  <c r="H200" i="1"/>
  <c r="H208" i="1"/>
  <c r="H211" i="1"/>
  <c r="H212" i="1"/>
  <c r="H216" i="1"/>
  <c r="H217" i="1"/>
  <c r="H232" i="1" s="1"/>
  <c r="H219" i="1"/>
  <c r="G53" i="1"/>
  <c r="G55" i="1"/>
  <c r="G44" i="1"/>
  <c r="G45" i="1"/>
  <c r="G46" i="1"/>
  <c r="G242" i="1" s="1"/>
  <c r="G49" i="1"/>
  <c r="G50" i="1"/>
  <c r="G51" i="1"/>
  <c r="G48" i="1"/>
  <c r="G243" i="1" s="1"/>
  <c r="G59" i="1"/>
  <c r="G252" i="1" s="1"/>
  <c r="G60" i="1"/>
  <c r="G63" i="1"/>
  <c r="G174" i="1"/>
  <c r="G180" i="1"/>
  <c r="G181" i="1"/>
  <c r="G187" i="1"/>
  <c r="G189" i="1"/>
  <c r="G190" i="1"/>
  <c r="G191" i="1"/>
  <c r="G192" i="1"/>
  <c r="G194" i="1"/>
  <c r="G195" i="1"/>
  <c r="G196" i="1"/>
  <c r="G199" i="1"/>
  <c r="G208" i="1"/>
  <c r="G211" i="1"/>
  <c r="G212" i="1"/>
  <c r="G216" i="1"/>
  <c r="G217" i="1"/>
  <c r="G219" i="1"/>
  <c r="F53" i="1"/>
  <c r="F248" i="1" s="1"/>
  <c r="F254" i="1" s="1"/>
  <c r="F56" i="1"/>
  <c r="F44" i="1"/>
  <c r="F46" i="1" s="1"/>
  <c r="F60" i="1"/>
  <c r="F63" i="1"/>
  <c r="F253" i="1" s="1"/>
  <c r="F170" i="1"/>
  <c r="F179" i="1"/>
  <c r="F184" i="1"/>
  <c r="F189" i="1"/>
  <c r="F192" i="1"/>
  <c r="F194" i="1"/>
  <c r="F196" i="1"/>
  <c r="F199" i="1"/>
  <c r="F211" i="1"/>
  <c r="E53" i="1"/>
  <c r="E55" i="1"/>
  <c r="E56" i="1" s="1"/>
  <c r="E58" i="1" s="1"/>
  <c r="E61" i="1" s="1"/>
  <c r="E66" i="1" s="1"/>
  <c r="E169" i="1" s="1"/>
  <c r="E193" i="1" s="1"/>
  <c r="E198" i="1" s="1"/>
  <c r="E210" i="1" s="1"/>
  <c r="E218" i="1" s="1"/>
  <c r="E44" i="1"/>
  <c r="E46" i="1" s="1"/>
  <c r="E242" i="1" s="1"/>
  <c r="E60" i="1"/>
  <c r="E63" i="1"/>
  <c r="E253" i="1" s="1"/>
  <c r="E170" i="1"/>
  <c r="E179" i="1"/>
  <c r="E184" i="1"/>
  <c r="E189" i="1"/>
  <c r="E192" i="1"/>
  <c r="E194" i="1"/>
  <c r="E196" i="1"/>
  <c r="E199" i="1"/>
  <c r="E204" i="1"/>
  <c r="E211" i="1"/>
  <c r="D53" i="1"/>
  <c r="D248" i="1" s="1"/>
  <c r="D254" i="1" s="1"/>
  <c r="D56" i="1"/>
  <c r="D44" i="1"/>
  <c r="D60" i="1"/>
  <c r="D63" i="1"/>
  <c r="D253" i="1" s="1"/>
  <c r="D170" i="1"/>
  <c r="D184" i="1"/>
  <c r="D189" i="1"/>
  <c r="D192" i="1"/>
  <c r="D194" i="1"/>
  <c r="D196" i="1"/>
  <c r="D199" i="1"/>
  <c r="D204" i="1"/>
  <c r="D211" i="1"/>
  <c r="C55" i="1"/>
  <c r="C56" i="1" s="1"/>
  <c r="C58" i="1" s="1"/>
  <c r="C61" i="1" s="1"/>
  <c r="C44" i="1"/>
  <c r="C46" i="1"/>
  <c r="C242" i="1" s="1"/>
  <c r="C60" i="1"/>
  <c r="C63" i="1"/>
  <c r="C170" i="1"/>
  <c r="C194" i="1"/>
  <c r="C199" i="1"/>
  <c r="C200" i="1"/>
  <c r="C207" i="1"/>
  <c r="C211" i="1"/>
  <c r="B55" i="1"/>
  <c r="B56" i="1" s="1"/>
  <c r="B44" i="1"/>
  <c r="B46" i="1"/>
  <c r="B242" i="1" s="1"/>
  <c r="B60" i="1"/>
  <c r="B63" i="1"/>
  <c r="B253" i="1" s="1"/>
  <c r="B170" i="1"/>
  <c r="B179" i="1"/>
  <c r="B194" i="1"/>
  <c r="B199" i="1"/>
  <c r="B200" i="1"/>
  <c r="B201" i="1"/>
  <c r="B207" i="1"/>
  <c r="B211" i="1"/>
  <c r="L73" i="1"/>
  <c r="L74" i="1"/>
  <c r="L135" i="1"/>
  <c r="L146" i="1"/>
  <c r="L163" i="1"/>
  <c r="L151" i="1"/>
  <c r="L144" i="1"/>
  <c r="L133" i="1"/>
  <c r="L123" i="1"/>
  <c r="L121" i="1"/>
  <c r="L33" i="1" s="1"/>
  <c r="L114" i="1"/>
  <c r="L129" i="1" s="1"/>
  <c r="L101" i="1"/>
  <c r="L96" i="1"/>
  <c r="L95" i="1"/>
  <c r="L93" i="1"/>
  <c r="L5" i="1"/>
  <c r="B5" i="1"/>
  <c r="C80" i="1" s="1"/>
  <c r="L91" i="1"/>
  <c r="K5" i="1"/>
  <c r="L80" i="1" s="1"/>
  <c r="K12" i="1"/>
  <c r="L82" i="1"/>
  <c r="L12" i="1"/>
  <c r="L84" i="1"/>
  <c r="L85" i="1"/>
  <c r="L86" i="1"/>
  <c r="D134" i="1"/>
  <c r="C134" i="1"/>
  <c r="D29" i="1" s="1"/>
  <c r="C145" i="1"/>
  <c r="D145" i="1"/>
  <c r="E134" i="1"/>
  <c r="E29" i="1" s="1"/>
  <c r="E145" i="1"/>
  <c r="F134" i="1"/>
  <c r="F145" i="1"/>
  <c r="H29" i="1"/>
  <c r="I29" i="1"/>
  <c r="J29" i="1"/>
  <c r="K29" i="1"/>
  <c r="L29" i="1"/>
  <c r="B134" i="1"/>
  <c r="B145" i="1"/>
  <c r="D28" i="1"/>
  <c r="E28" i="1"/>
  <c r="F28" i="1"/>
  <c r="G28" i="1"/>
  <c r="H28" i="1"/>
  <c r="I28" i="1"/>
  <c r="J28" i="1"/>
  <c r="K28" i="1"/>
  <c r="L28" i="1"/>
  <c r="C28" i="1"/>
  <c r="L21" i="1"/>
  <c r="L22" i="1"/>
  <c r="L23" i="1"/>
  <c r="L10" i="1"/>
  <c r="L34" i="1"/>
  <c r="L17" i="1"/>
  <c r="L15" i="1"/>
  <c r="K15" i="1"/>
  <c r="L18" i="1"/>
  <c r="L7" i="1"/>
  <c r="L3" i="1"/>
  <c r="E17" i="1"/>
  <c r="K226" i="1"/>
  <c r="K227" i="1"/>
  <c r="K228" i="1"/>
  <c r="K229" i="1"/>
  <c r="K230" i="1"/>
  <c r="K231" i="1"/>
  <c r="K232" i="1"/>
  <c r="K233" i="1"/>
  <c r="J226" i="1"/>
  <c r="J227" i="1"/>
  <c r="J228" i="1"/>
  <c r="J229" i="1"/>
  <c r="J230" i="1"/>
  <c r="J231" i="1"/>
  <c r="J232" i="1"/>
  <c r="J233" i="1"/>
  <c r="I226" i="1"/>
  <c r="I227" i="1"/>
  <c r="I228" i="1"/>
  <c r="I229" i="1"/>
  <c r="I230" i="1"/>
  <c r="I231" i="1"/>
  <c r="I232" i="1"/>
  <c r="I233" i="1"/>
  <c r="H226" i="1"/>
  <c r="H227" i="1"/>
  <c r="H228" i="1"/>
  <c r="H229" i="1"/>
  <c r="H230" i="1"/>
  <c r="H231" i="1"/>
  <c r="H233" i="1"/>
  <c r="G226" i="1"/>
  <c r="G227" i="1"/>
  <c r="G228" i="1"/>
  <c r="G229" i="1"/>
  <c r="G230" i="1"/>
  <c r="G231" i="1"/>
  <c r="G232" i="1"/>
  <c r="G233" i="1"/>
  <c r="F226" i="1"/>
  <c r="F227" i="1"/>
  <c r="F228" i="1"/>
  <c r="F229" i="1"/>
  <c r="F230" i="1"/>
  <c r="F231" i="1"/>
  <c r="F232" i="1"/>
  <c r="F233" i="1"/>
  <c r="E226" i="1"/>
  <c r="E227" i="1"/>
  <c r="E228" i="1"/>
  <c r="E229" i="1"/>
  <c r="E230" i="1"/>
  <c r="E231" i="1"/>
  <c r="E232" i="1"/>
  <c r="E233" i="1"/>
  <c r="D226" i="1"/>
  <c r="D227" i="1"/>
  <c r="D228" i="1"/>
  <c r="D229" i="1"/>
  <c r="D230" i="1"/>
  <c r="D231" i="1"/>
  <c r="D232" i="1"/>
  <c r="D233" i="1"/>
  <c r="C226" i="1"/>
  <c r="C227" i="1"/>
  <c r="C228" i="1"/>
  <c r="C229" i="1"/>
  <c r="C230" i="1"/>
  <c r="C231" i="1"/>
  <c r="C232" i="1"/>
  <c r="C233" i="1"/>
  <c r="B226" i="1"/>
  <c r="B227" i="1"/>
  <c r="B228" i="1"/>
  <c r="B229" i="1"/>
  <c r="B230" i="1"/>
  <c r="B231" i="1"/>
  <c r="B232" i="1"/>
  <c r="B233" i="1"/>
  <c r="K73" i="1"/>
  <c r="K74" i="1"/>
  <c r="J73" i="1"/>
  <c r="J74" i="1"/>
  <c r="I73" i="1"/>
  <c r="I74" i="1"/>
  <c r="H73" i="1"/>
  <c r="H74" i="1"/>
  <c r="G73" i="1"/>
  <c r="G74" i="1"/>
  <c r="F73" i="1"/>
  <c r="F74" i="1"/>
  <c r="E72" i="1"/>
  <c r="E75" i="1" s="1"/>
  <c r="E164" i="1" s="1"/>
  <c r="E73" i="1"/>
  <c r="E74" i="1"/>
  <c r="D73" i="1"/>
  <c r="D74" i="1"/>
  <c r="C72" i="1"/>
  <c r="C73" i="1"/>
  <c r="C74" i="1"/>
  <c r="B73" i="1"/>
  <c r="B74" i="1"/>
  <c r="K146" i="1"/>
  <c r="K135" i="1"/>
  <c r="J146" i="1"/>
  <c r="J135" i="1"/>
  <c r="I146" i="1"/>
  <c r="I135" i="1"/>
  <c r="I163" i="1"/>
  <c r="H146" i="1"/>
  <c r="H135" i="1"/>
  <c r="H163" i="1" s="1"/>
  <c r="G146" i="1"/>
  <c r="G135" i="1"/>
  <c r="F146" i="1"/>
  <c r="F135" i="1"/>
  <c r="F133" i="1" s="1"/>
  <c r="E146" i="1"/>
  <c r="E162" i="1" s="1"/>
  <c r="E135" i="1"/>
  <c r="E163" i="1"/>
  <c r="D146" i="1"/>
  <c r="D135" i="1"/>
  <c r="D163" i="1" s="1"/>
  <c r="C146" i="1"/>
  <c r="C135" i="1"/>
  <c r="C118" i="1"/>
  <c r="C114" i="1" s="1"/>
  <c r="C129" i="1" s="1"/>
  <c r="B146" i="1"/>
  <c r="B135" i="1"/>
  <c r="B118" i="1"/>
  <c r="B108" i="1"/>
  <c r="B163" i="1"/>
  <c r="K34" i="1"/>
  <c r="G34" i="1"/>
  <c r="F34" i="1"/>
  <c r="E34" i="1"/>
  <c r="D34" i="1"/>
  <c r="C34" i="1"/>
  <c r="K33" i="1"/>
  <c r="J33" i="1"/>
  <c r="I33" i="1"/>
  <c r="G33" i="1"/>
  <c r="F33" i="1"/>
  <c r="E33" i="1"/>
  <c r="C33" i="1"/>
  <c r="K32" i="1"/>
  <c r="G32" i="1"/>
  <c r="F32" i="1"/>
  <c r="E32" i="1"/>
  <c r="D32" i="1"/>
  <c r="C32" i="1"/>
  <c r="B34" i="1"/>
  <c r="B33" i="1"/>
  <c r="B32" i="1"/>
  <c r="C151" i="1"/>
  <c r="B151" i="1"/>
  <c r="C123" i="1"/>
  <c r="B123" i="1"/>
  <c r="D151" i="1"/>
  <c r="D123" i="1"/>
  <c r="D114" i="1" s="1"/>
  <c r="G151" i="1"/>
  <c r="G123" i="1"/>
  <c r="G114" i="1" s="1"/>
  <c r="G129" i="1" s="1"/>
  <c r="F151" i="1"/>
  <c r="E151" i="1"/>
  <c r="F123" i="1"/>
  <c r="E123" i="1"/>
  <c r="G112" i="1"/>
  <c r="H112" i="1"/>
  <c r="H101" i="1" s="1"/>
  <c r="I112" i="1"/>
  <c r="J112" i="1"/>
  <c r="J101" i="1" s="1"/>
  <c r="H151" i="1"/>
  <c r="H123" i="1"/>
  <c r="H114" i="1" s="1"/>
  <c r="I151" i="1"/>
  <c r="I123" i="1"/>
  <c r="I114" i="1" s="1"/>
  <c r="J151" i="1"/>
  <c r="J144" i="1"/>
  <c r="I133" i="1"/>
  <c r="I144" i="1"/>
  <c r="I158" i="1" s="1"/>
  <c r="H133" i="1"/>
  <c r="H144" i="1"/>
  <c r="H158" i="1"/>
  <c r="G133" i="1"/>
  <c r="E133" i="1"/>
  <c r="E144" i="1"/>
  <c r="E158" i="1" s="1"/>
  <c r="D133" i="1"/>
  <c r="D144" i="1"/>
  <c r="D158" i="1"/>
  <c r="C133" i="1"/>
  <c r="B133" i="1"/>
  <c r="K151" i="1"/>
  <c r="K144" i="1"/>
  <c r="K158" i="1" s="1"/>
  <c r="K133" i="1"/>
  <c r="J123" i="1"/>
  <c r="J114" i="1"/>
  <c r="J129" i="1" s="1"/>
  <c r="I101" i="1"/>
  <c r="H129" i="1"/>
  <c r="G101" i="1"/>
  <c r="F114" i="1"/>
  <c r="F129" i="1" s="1"/>
  <c r="F101" i="1"/>
  <c r="E114" i="1"/>
  <c r="E129" i="1" s="1"/>
  <c r="E101" i="1"/>
  <c r="D101" i="1"/>
  <c r="D129" i="1"/>
  <c r="C101" i="1"/>
  <c r="B114" i="1"/>
  <c r="B129" i="1" s="1"/>
  <c r="B101" i="1"/>
  <c r="K123" i="1"/>
  <c r="K114" i="1"/>
  <c r="K129" i="1" s="1"/>
  <c r="K101" i="1"/>
  <c r="J5" i="1"/>
  <c r="I5" i="1"/>
  <c r="H5" i="1"/>
  <c r="G5" i="1"/>
  <c r="G81" i="1" s="1"/>
  <c r="F5" i="1"/>
  <c r="E5" i="1"/>
  <c r="C5" i="1"/>
  <c r="K82" i="1"/>
  <c r="K84" i="1"/>
  <c r="K85" i="1"/>
  <c r="K86" i="1"/>
  <c r="K87" i="1"/>
  <c r="J82" i="1"/>
  <c r="J84" i="1"/>
  <c r="J85" i="1"/>
  <c r="J86" i="1"/>
  <c r="J87" i="1"/>
  <c r="I82" i="1"/>
  <c r="I84" i="1"/>
  <c r="I85" i="1"/>
  <c r="I86" i="1"/>
  <c r="G12" i="1"/>
  <c r="H80" i="1"/>
  <c r="H82" i="1"/>
  <c r="H84" i="1"/>
  <c r="H85" i="1"/>
  <c r="H86" i="1"/>
  <c r="F12" i="1"/>
  <c r="F83" i="1" s="1"/>
  <c r="G80" i="1"/>
  <c r="G82" i="1"/>
  <c r="G83" i="1"/>
  <c r="G84" i="1"/>
  <c r="G85" i="1"/>
  <c r="G86" i="1"/>
  <c r="E12" i="1"/>
  <c r="F82" i="1"/>
  <c r="F84" i="1"/>
  <c r="F85" i="1"/>
  <c r="F86" i="1"/>
  <c r="F87" i="1"/>
  <c r="E82" i="1"/>
  <c r="E84" i="1"/>
  <c r="E85" i="1"/>
  <c r="E86" i="1"/>
  <c r="E87" i="1"/>
  <c r="C12" i="1"/>
  <c r="D80" i="1"/>
  <c r="D82" i="1"/>
  <c r="D84" i="1"/>
  <c r="D85" i="1"/>
  <c r="D86" i="1"/>
  <c r="D87" i="1"/>
  <c r="B12" i="1"/>
  <c r="C83" i="1"/>
  <c r="C81" i="1"/>
  <c r="C82" i="1"/>
  <c r="C84" i="1"/>
  <c r="C85" i="1"/>
  <c r="C86" i="1"/>
  <c r="K10" i="1"/>
  <c r="J10" i="1"/>
  <c r="H10" i="1"/>
  <c r="G10" i="1"/>
  <c r="F10" i="1"/>
  <c r="F26" i="1" s="1"/>
  <c r="F24" i="1"/>
  <c r="E24" i="1"/>
  <c r="D24" i="1"/>
  <c r="C10" i="1"/>
  <c r="C26" i="1" s="1"/>
  <c r="C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I21" i="1"/>
  <c r="G21" i="1"/>
  <c r="F21" i="1"/>
  <c r="E21" i="1"/>
  <c r="D21" i="1"/>
  <c r="C23" i="1"/>
  <c r="C22" i="1"/>
  <c r="C21" i="1"/>
  <c r="F68" i="1"/>
  <c r="E70" i="1"/>
  <c r="J15" i="1"/>
  <c r="K18" i="1" s="1"/>
  <c r="I15" i="1"/>
  <c r="J18" i="1"/>
  <c r="H15" i="1"/>
  <c r="I18" i="1" s="1"/>
  <c r="G15" i="1"/>
  <c r="F15" i="1"/>
  <c r="G18" i="1" s="1"/>
  <c r="E15" i="1"/>
  <c r="D15" i="1"/>
  <c r="E18" i="1" s="1"/>
  <c r="C15" i="1"/>
  <c r="B15" i="1"/>
  <c r="C18" i="1" s="1"/>
  <c r="J17" i="1"/>
  <c r="I17" i="1"/>
  <c r="H17" i="1"/>
  <c r="G17" i="1"/>
  <c r="F17" i="1"/>
  <c r="D17" i="1"/>
  <c r="C17" i="1"/>
  <c r="K17" i="1"/>
  <c r="K8" i="1"/>
  <c r="J8" i="1"/>
  <c r="I8" i="1"/>
  <c r="H8" i="1"/>
  <c r="G8" i="1"/>
  <c r="F8" i="1"/>
  <c r="K7" i="1"/>
  <c r="J7" i="1"/>
  <c r="I7" i="1"/>
  <c r="H7" i="1"/>
  <c r="G7" i="1"/>
  <c r="F7" i="1"/>
  <c r="E7" i="1"/>
  <c r="D7" i="1"/>
  <c r="C7" i="1"/>
  <c r="B144" i="1" l="1"/>
  <c r="B158" i="1" s="1"/>
  <c r="G163" i="1"/>
  <c r="G144" i="1"/>
  <c r="G158" i="1" s="1"/>
  <c r="H33" i="1"/>
  <c r="I10" i="1"/>
  <c r="H242" i="1"/>
  <c r="J158" i="1"/>
  <c r="K163" i="1"/>
  <c r="F163" i="1"/>
  <c r="J133" i="1"/>
  <c r="C75" i="1"/>
  <c r="F29" i="1"/>
  <c r="G29" i="1"/>
  <c r="H243" i="1"/>
  <c r="H24" i="1"/>
  <c r="H26" i="1" s="1"/>
  <c r="H21" i="1"/>
  <c r="H32" i="1"/>
  <c r="H12" i="1"/>
  <c r="H248" i="1"/>
  <c r="H254" i="1" s="1"/>
  <c r="D18" i="1"/>
  <c r="F18" i="1"/>
  <c r="H18" i="1"/>
  <c r="F80" i="1"/>
  <c r="F81" i="1"/>
  <c r="H34" i="1"/>
  <c r="E160" i="1"/>
  <c r="E77" i="1"/>
  <c r="C8" i="1"/>
  <c r="I129" i="1"/>
  <c r="C144" i="1"/>
  <c r="C158" i="1" s="1"/>
  <c r="C163" i="1"/>
  <c r="J163" i="1"/>
  <c r="B58" i="1"/>
  <c r="C87" i="1"/>
  <c r="C88" i="1" s="1"/>
  <c r="D46" i="1"/>
  <c r="D5" i="1"/>
  <c r="D12" i="1"/>
  <c r="E83" i="1" s="1"/>
  <c r="E236" i="1"/>
  <c r="E225" i="1"/>
  <c r="E234" i="1" s="1"/>
  <c r="I243" i="1"/>
  <c r="I32" i="1"/>
  <c r="I12" i="1"/>
  <c r="I83" i="1" s="1"/>
  <c r="I34" i="1"/>
  <c r="I254" i="1"/>
  <c r="H81" i="1"/>
  <c r="L92" i="1"/>
  <c r="L81" i="1"/>
  <c r="C29" i="1"/>
  <c r="C66" i="1"/>
  <c r="E244" i="1"/>
  <c r="G56" i="1"/>
  <c r="G58" i="1"/>
  <c r="L88" i="1"/>
  <c r="L158" i="1"/>
  <c r="B244" i="1"/>
  <c r="F242" i="1"/>
  <c r="F58" i="1"/>
  <c r="G244" i="1"/>
  <c r="L243" i="1"/>
  <c r="L244" i="1" s="1"/>
  <c r="L94" i="1"/>
  <c r="L32" i="1"/>
  <c r="L24" i="1"/>
  <c r="L26" i="1" s="1"/>
  <c r="L248" i="1"/>
  <c r="L254" i="1" s="1"/>
  <c r="L58" i="1"/>
  <c r="L87" i="1"/>
  <c r="F144" i="1"/>
  <c r="F158" i="1" s="1"/>
  <c r="L8" i="1"/>
  <c r="L83" i="1"/>
  <c r="C244" i="1"/>
  <c r="E248" i="1"/>
  <c r="E254" i="1" s="1"/>
  <c r="H56" i="1"/>
  <c r="H58" i="1"/>
  <c r="I242" i="1"/>
  <c r="I58" i="1"/>
  <c r="J51" i="1"/>
  <c r="J48" i="1"/>
  <c r="K242" i="1"/>
  <c r="K58" i="1"/>
  <c r="G248" i="1"/>
  <c r="G254" i="1" s="1"/>
  <c r="B248" i="1"/>
  <c r="B254" i="1" s="1"/>
  <c r="H61" i="1" l="1"/>
  <c r="H66" i="1" s="1"/>
  <c r="H72" i="1"/>
  <c r="H75" i="1" s="1"/>
  <c r="B256" i="1"/>
  <c r="B257" i="1" s="1"/>
  <c r="J58" i="1"/>
  <c r="J243" i="1"/>
  <c r="J244" i="1" s="1"/>
  <c r="J34" i="1"/>
  <c r="J12" i="1"/>
  <c r="J24" i="1"/>
  <c r="J26" i="1" s="1"/>
  <c r="J32" i="1"/>
  <c r="J21" i="1"/>
  <c r="K21" i="1"/>
  <c r="K24" i="1"/>
  <c r="K26" i="1" s="1"/>
  <c r="G259" i="1"/>
  <c r="G246" i="1"/>
  <c r="E246" i="1"/>
  <c r="E256" i="1" s="1"/>
  <c r="E257" i="1" s="1"/>
  <c r="E259" i="1"/>
  <c r="D8" i="1"/>
  <c r="D81" i="1"/>
  <c r="E80" i="1"/>
  <c r="E8" i="1"/>
  <c r="C77" i="1"/>
  <c r="C164" i="1"/>
  <c r="C160" i="1"/>
  <c r="H244" i="1"/>
  <c r="G256" i="1"/>
  <c r="G257" i="1" s="1"/>
  <c r="H87" i="1"/>
  <c r="H88" i="1" s="1"/>
  <c r="I87" i="1"/>
  <c r="I24" i="1"/>
  <c r="G61" i="1"/>
  <c r="G66" i="1" s="1"/>
  <c r="G72" i="1"/>
  <c r="G75" i="1" s="1"/>
  <c r="C169" i="1"/>
  <c r="C193" i="1" s="1"/>
  <c r="C198" i="1" s="1"/>
  <c r="C210" i="1" s="1"/>
  <c r="C218" i="1" s="1"/>
  <c r="C70" i="1"/>
  <c r="D58" i="1"/>
  <c r="D33" i="1"/>
  <c r="E10" i="1"/>
  <c r="E26" i="1" s="1"/>
  <c r="D242" i="1"/>
  <c r="D10" i="1"/>
  <c r="D26" i="1" s="1"/>
  <c r="H83" i="1"/>
  <c r="I80" i="1"/>
  <c r="I88" i="1" s="1"/>
  <c r="J81" i="1"/>
  <c r="I26" i="1"/>
  <c r="K61" i="1"/>
  <c r="K66" i="1" s="1"/>
  <c r="K72" i="1"/>
  <c r="K75" i="1" s="1"/>
  <c r="I61" i="1"/>
  <c r="I66" i="1" s="1"/>
  <c r="I72" i="1"/>
  <c r="I75" i="1" s="1"/>
  <c r="G87" i="1"/>
  <c r="G88" i="1" s="1"/>
  <c r="G24" i="1"/>
  <c r="G26" i="1" s="1"/>
  <c r="F88" i="1"/>
  <c r="J80" i="1"/>
  <c r="L61" i="1"/>
  <c r="L66" i="1" s="1"/>
  <c r="L72" i="1"/>
  <c r="L75" i="1" s="1"/>
  <c r="F72" i="1"/>
  <c r="F75" i="1" s="1"/>
  <c r="F61" i="1"/>
  <c r="F66" i="1" s="1"/>
  <c r="B246" i="1"/>
  <c r="B259" i="1"/>
  <c r="K244" i="1"/>
  <c r="I244" i="1"/>
  <c r="C259" i="1"/>
  <c r="C246" i="1"/>
  <c r="C256" i="1" s="1"/>
  <c r="C257" i="1" s="1"/>
  <c r="L246" i="1"/>
  <c r="L256" i="1" s="1"/>
  <c r="L257" i="1" s="1"/>
  <c r="L259" i="1"/>
  <c r="F244" i="1"/>
  <c r="D83" i="1"/>
  <c r="B61" i="1"/>
  <c r="B66" i="1" s="1"/>
  <c r="B72" i="1"/>
  <c r="B75" i="1" s="1"/>
  <c r="C162" i="1"/>
  <c r="E81" i="1"/>
  <c r="I81" i="1"/>
  <c r="L262" i="1" l="1"/>
  <c r="L263" i="1"/>
  <c r="L261" i="1"/>
  <c r="F164" i="1"/>
  <c r="F160" i="1"/>
  <c r="F77" i="1"/>
  <c r="F162" i="1"/>
  <c r="G77" i="1"/>
  <c r="G164" i="1"/>
  <c r="G160" i="1"/>
  <c r="G162" i="1"/>
  <c r="B261" i="1"/>
  <c r="B262" i="1"/>
  <c r="B263" i="1"/>
  <c r="L164" i="1"/>
  <c r="L77" i="1"/>
  <c r="L162" i="1"/>
  <c r="L160" i="1"/>
  <c r="I169" i="1"/>
  <c r="I193" i="1" s="1"/>
  <c r="I198" i="1" s="1"/>
  <c r="I210" i="1" s="1"/>
  <c r="I218" i="1" s="1"/>
  <c r="I70" i="1"/>
  <c r="G169" i="1"/>
  <c r="G193" i="1" s="1"/>
  <c r="G198" i="1" s="1"/>
  <c r="G210" i="1" s="1"/>
  <c r="G218" i="1" s="1"/>
  <c r="G70" i="1"/>
  <c r="E88" i="1"/>
  <c r="J83" i="1"/>
  <c r="J88" i="1" s="1"/>
  <c r="K83" i="1"/>
  <c r="K80" i="1"/>
  <c r="K81" i="1"/>
  <c r="B164" i="1"/>
  <c r="B160" i="1"/>
  <c r="B77" i="1"/>
  <c r="B162" i="1"/>
  <c r="K77" i="1"/>
  <c r="K160" i="1"/>
  <c r="K164" i="1"/>
  <c r="K162" i="1"/>
  <c r="H246" i="1"/>
  <c r="H256" i="1" s="1"/>
  <c r="H257" i="1" s="1"/>
  <c r="H259" i="1"/>
  <c r="D88" i="1"/>
  <c r="H164" i="1"/>
  <c r="H160" i="1"/>
  <c r="H162" i="1"/>
  <c r="H77" i="1"/>
  <c r="C263" i="1"/>
  <c r="C261" i="1"/>
  <c r="C262" i="1"/>
  <c r="I164" i="1"/>
  <c r="I160" i="1"/>
  <c r="I77" i="1"/>
  <c r="I162" i="1"/>
  <c r="D72" i="1"/>
  <c r="D75" i="1" s="1"/>
  <c r="D61" i="1"/>
  <c r="D66" i="1" s="1"/>
  <c r="E261" i="1"/>
  <c r="E262" i="1"/>
  <c r="E263" i="1"/>
  <c r="J61" i="1"/>
  <c r="J66" i="1" s="1"/>
  <c r="J72" i="1"/>
  <c r="J75" i="1" s="1"/>
  <c r="D244" i="1"/>
  <c r="I246" i="1"/>
  <c r="I256" i="1" s="1"/>
  <c r="I257" i="1" s="1"/>
  <c r="I259" i="1"/>
  <c r="L70" i="1"/>
  <c r="L169" i="1"/>
  <c r="L193" i="1" s="1"/>
  <c r="L198" i="1" s="1"/>
  <c r="L210" i="1" s="1"/>
  <c r="L218" i="1" s="1"/>
  <c r="B169" i="1"/>
  <c r="B193" i="1" s="1"/>
  <c r="B198" i="1" s="1"/>
  <c r="B210" i="1" s="1"/>
  <c r="B218" i="1" s="1"/>
  <c r="B70" i="1"/>
  <c r="F259" i="1"/>
  <c r="F246" i="1"/>
  <c r="F256" i="1" s="1"/>
  <c r="F257" i="1" s="1"/>
  <c r="K259" i="1"/>
  <c r="K246" i="1"/>
  <c r="K256" i="1" s="1"/>
  <c r="K257" i="1" s="1"/>
  <c r="F169" i="1"/>
  <c r="F193" i="1" s="1"/>
  <c r="F198" i="1" s="1"/>
  <c r="F210" i="1" s="1"/>
  <c r="F218" i="1" s="1"/>
  <c r="F70" i="1"/>
  <c r="K169" i="1"/>
  <c r="K193" i="1" s="1"/>
  <c r="K198" i="1" s="1"/>
  <c r="K210" i="1" s="1"/>
  <c r="K218" i="1" s="1"/>
  <c r="K70" i="1"/>
  <c r="C225" i="1"/>
  <c r="C234" i="1" s="1"/>
  <c r="C236" i="1"/>
  <c r="G263" i="1"/>
  <c r="G261" i="1"/>
  <c r="G262" i="1"/>
  <c r="J259" i="1"/>
  <c r="J246" i="1"/>
  <c r="J256" i="1" s="1"/>
  <c r="J257" i="1" s="1"/>
  <c r="H169" i="1"/>
  <c r="H193" i="1" s="1"/>
  <c r="H198" i="1" s="1"/>
  <c r="H210" i="1" s="1"/>
  <c r="H218" i="1" s="1"/>
  <c r="H70" i="1"/>
  <c r="K225" i="1" l="1"/>
  <c r="K234" i="1" s="1"/>
  <c r="K236" i="1"/>
  <c r="I261" i="1"/>
  <c r="I262" i="1"/>
  <c r="I263" i="1"/>
  <c r="K263" i="1"/>
  <c r="K261" i="1"/>
  <c r="K262" i="1"/>
  <c r="B236" i="1"/>
  <c r="B221" i="1"/>
  <c r="B225" i="1"/>
  <c r="B234" i="1" s="1"/>
  <c r="J169" i="1"/>
  <c r="J193" i="1" s="1"/>
  <c r="J198" i="1" s="1"/>
  <c r="J210" i="1" s="1"/>
  <c r="J218" i="1" s="1"/>
  <c r="J70" i="1"/>
  <c r="D169" i="1"/>
  <c r="D193" i="1" s="1"/>
  <c r="D198" i="1" s="1"/>
  <c r="D210" i="1" s="1"/>
  <c r="D218" i="1" s="1"/>
  <c r="D70" i="1"/>
  <c r="I236" i="1"/>
  <c r="I225" i="1"/>
  <c r="I234" i="1" s="1"/>
  <c r="K88" i="1"/>
  <c r="J261" i="1"/>
  <c r="J262" i="1"/>
  <c r="J263" i="1"/>
  <c r="J164" i="1"/>
  <c r="J160" i="1"/>
  <c r="J77" i="1"/>
  <c r="J162" i="1"/>
  <c r="H236" i="1"/>
  <c r="H225" i="1"/>
  <c r="H234" i="1" s="1"/>
  <c r="L225" i="1"/>
  <c r="L234" i="1" s="1"/>
  <c r="L236" i="1"/>
  <c r="D246" i="1"/>
  <c r="D256" i="1" s="1"/>
  <c r="D257" i="1" s="1"/>
  <c r="D259" i="1"/>
  <c r="D164" i="1"/>
  <c r="D160" i="1"/>
  <c r="D77" i="1"/>
  <c r="D162" i="1"/>
  <c r="F236" i="1"/>
  <c r="F225" i="1"/>
  <c r="F234" i="1" s="1"/>
  <c r="F261" i="1"/>
  <c r="F262" i="1"/>
  <c r="F263" i="1"/>
  <c r="H262" i="1"/>
  <c r="H263" i="1"/>
  <c r="H261" i="1"/>
  <c r="G225" i="1"/>
  <c r="G234" i="1" s="1"/>
  <c r="G236" i="1"/>
  <c r="D262" i="1" l="1"/>
  <c r="D263" i="1"/>
  <c r="D261" i="1"/>
  <c r="C220" i="1"/>
  <c r="C221" i="1" s="1"/>
  <c r="B223" i="1"/>
  <c r="D236" i="1"/>
  <c r="D225" i="1"/>
  <c r="D234" i="1" s="1"/>
  <c r="J236" i="1"/>
  <c r="J225" i="1"/>
  <c r="J234" i="1" s="1"/>
  <c r="D220" i="1" l="1"/>
  <c r="D221" i="1" s="1"/>
  <c r="C223" i="1"/>
  <c r="D223" i="1" l="1"/>
  <c r="E220" i="1"/>
  <c r="E221" i="1" s="1"/>
  <c r="F220" i="1" l="1"/>
  <c r="F221" i="1" s="1"/>
  <c r="E223" i="1"/>
  <c r="G220" i="1" l="1"/>
  <c r="G221" i="1" s="1"/>
  <c r="F223" i="1"/>
  <c r="H220" i="1" l="1"/>
  <c r="H221" i="1" s="1"/>
  <c r="G223" i="1"/>
  <c r="I220" i="1" l="1"/>
  <c r="I221" i="1" s="1"/>
  <c r="H223" i="1"/>
  <c r="J220" i="1" l="1"/>
  <c r="J221" i="1" s="1"/>
  <c r="I223" i="1"/>
  <c r="K220" i="1" l="1"/>
  <c r="K221" i="1" s="1"/>
  <c r="J223" i="1"/>
  <c r="L220" i="1" l="1"/>
  <c r="L221" i="1" s="1"/>
  <c r="L223" i="1" s="1"/>
  <c r="K223" i="1"/>
</calcChain>
</file>

<file path=xl/sharedStrings.xml><?xml version="1.0" encoding="utf-8"?>
<sst xmlns="http://schemas.openxmlformats.org/spreadsheetml/2006/main" count="221" uniqueCount="169">
  <si>
    <t>Eskom Holdings SOC Ltd</t>
  </si>
  <si>
    <t>1. Key ratio's &amp; forecasts</t>
  </si>
  <si>
    <t>March year-end</t>
  </si>
  <si>
    <t>2. Income statements</t>
  </si>
  <si>
    <t>Rmillions</t>
  </si>
  <si>
    <t>Electricity sales (GWh)</t>
  </si>
  <si>
    <t>Electricity revenue</t>
  </si>
  <si>
    <t>Gross electricity revenue</t>
  </si>
  <si>
    <t>Gross electricity revenue per kWh (Rands)</t>
  </si>
  <si>
    <t>Environmental levy</t>
  </si>
  <si>
    <t>Capitalised revenue</t>
  </si>
  <si>
    <t>IAS 18 revenue deemed not collectible</t>
  </si>
  <si>
    <t>Other revenue</t>
  </si>
  <si>
    <t>Other income</t>
  </si>
  <si>
    <t>Total revenue</t>
  </si>
  <si>
    <t>Annual change in electricity GWh sales</t>
  </si>
  <si>
    <t>Annual change in electricity revenue per kWh</t>
  </si>
  <si>
    <t>Primary energy costs</t>
  </si>
  <si>
    <t>Own generation</t>
  </si>
  <si>
    <t>Independent power producers</t>
  </si>
  <si>
    <t>Other</t>
  </si>
  <si>
    <t>Number of employees</t>
  </si>
  <si>
    <t>Gross employee benefit expense</t>
  </si>
  <si>
    <t>Capitalised to PPE</t>
  </si>
  <si>
    <t>Average annual salary benefit</t>
  </si>
  <si>
    <t>Annual change in number of employees</t>
  </si>
  <si>
    <t>Annual change in average annual salary</t>
  </si>
  <si>
    <t>Repairs &amp; maintenance, transport &amp; other costs</t>
  </si>
  <si>
    <t>Other expenses</t>
  </si>
  <si>
    <t>Impairments</t>
  </si>
  <si>
    <t>EBITDA</t>
  </si>
  <si>
    <t>Depreciation &amp; amortisation</t>
  </si>
  <si>
    <t>Fair value gains/losses</t>
  </si>
  <si>
    <t>EBIT</t>
  </si>
  <si>
    <t>Finance income</t>
  </si>
  <si>
    <t>Finance costs</t>
  </si>
  <si>
    <t>Profit/loss before taxation</t>
  </si>
  <si>
    <t>Current taxation</t>
  </si>
  <si>
    <t>Deferred taxation</t>
  </si>
  <si>
    <t>Profit for the year</t>
  </si>
  <si>
    <t>Share of associates income</t>
  </si>
  <si>
    <t>Primary energy costs/electricity revenue</t>
  </si>
  <si>
    <t>Reported EBITDA</t>
  </si>
  <si>
    <t>Remeasurement of shareholder loan</t>
  </si>
  <si>
    <t>Annual change in:</t>
  </si>
  <si>
    <t>Employee costs</t>
  </si>
  <si>
    <t>Repairs &amp; maintenance</t>
  </si>
  <si>
    <t>Total operating costs</t>
  </si>
  <si>
    <t>Total revenue growth</t>
  </si>
  <si>
    <t>JAWS ratio</t>
  </si>
  <si>
    <t>Adjusted EBITDA</t>
  </si>
  <si>
    <t>Adjusted EBITDA/total revenue</t>
  </si>
  <si>
    <t>Annual change in EBITDA due to:</t>
  </si>
  <si>
    <t>Change in electricity volumes</t>
  </si>
  <si>
    <t>Change in electricity prices</t>
  </si>
  <si>
    <t>Change in other revenue</t>
  </si>
  <si>
    <t>Change in primary energy margin</t>
  </si>
  <si>
    <t>Change in other income</t>
  </si>
  <si>
    <t>Change in employee costs</t>
  </si>
  <si>
    <t>Add back capitalised employee costs</t>
  </si>
  <si>
    <t>Change in repairs &amp; maintenance</t>
  </si>
  <si>
    <t>Change in other operating costs</t>
  </si>
  <si>
    <t>Volume of electricity sold</t>
  </si>
  <si>
    <t>Electricity prices</t>
  </si>
  <si>
    <t>Primary generation costs</t>
  </si>
  <si>
    <t>3. Balance sheets</t>
  </si>
  <si>
    <t>Non-current assets</t>
  </si>
  <si>
    <t>Property, plant &amp; equipment</t>
  </si>
  <si>
    <t>Intangible assets</t>
  </si>
  <si>
    <t>Future fuel supplies</t>
  </si>
  <si>
    <t>Associate companies</t>
  </si>
  <si>
    <t>Loans receivable</t>
  </si>
  <si>
    <t>Derivatives</t>
  </si>
  <si>
    <t>Finance lease receivables</t>
  </si>
  <si>
    <t>Payments in advance</t>
  </si>
  <si>
    <t>Other non-current assets</t>
  </si>
  <si>
    <t>Current assets</t>
  </si>
  <si>
    <t>Inventories</t>
  </si>
  <si>
    <t>Taxation</t>
  </si>
  <si>
    <t>Trade &amp; other receivables</t>
  </si>
  <si>
    <t>Impairment of receivables</t>
  </si>
  <si>
    <t>Other receivables</t>
  </si>
  <si>
    <t>Securities</t>
  </si>
  <si>
    <t>Financial trading assets</t>
  </si>
  <si>
    <t>Cash &amp; cash equivalents</t>
  </si>
  <si>
    <t>Assets held for resale</t>
  </si>
  <si>
    <t>Total assets</t>
  </si>
  <si>
    <t>Trade receivables - gross</t>
  </si>
  <si>
    <t>Capital &amp; reserves</t>
  </si>
  <si>
    <t>Non-current liabilities</t>
  </si>
  <si>
    <t>Borrowings</t>
  </si>
  <si>
    <t>Employee benefit obligations</t>
  </si>
  <si>
    <t>Provisions</t>
  </si>
  <si>
    <t>Finance lease payables</t>
  </si>
  <si>
    <t>Trade payables</t>
  </si>
  <si>
    <t>Accruals &amp; other payables</t>
  </si>
  <si>
    <t>Payments received in advance</t>
  </si>
  <si>
    <t>Financial trading liabilities</t>
  </si>
  <si>
    <t>Current liabilities</t>
  </si>
  <si>
    <t>Liabilities held for resale</t>
  </si>
  <si>
    <t>Total equity &amp; liabilities</t>
  </si>
  <si>
    <t>Deferred income</t>
  </si>
  <si>
    <t>Trade &amp; other payables</t>
  </si>
  <si>
    <t>Working capital ratios</t>
  </si>
  <si>
    <t>Inventory days</t>
  </si>
  <si>
    <t>Debtors days</t>
  </si>
  <si>
    <t>Creditors days</t>
  </si>
  <si>
    <t>ROE (pre tax)</t>
  </si>
  <si>
    <t>Debt to EBITDA</t>
  </si>
  <si>
    <t>Debt equity</t>
  </si>
  <si>
    <t>Interest cover (net)</t>
  </si>
  <si>
    <t>4. Cash flow statements</t>
  </si>
  <si>
    <t>Depreciation expense - primary energy</t>
  </si>
  <si>
    <t>Net impairment loss</t>
  </si>
  <si>
    <t>Loss/surplus on disposal of PPE</t>
  </si>
  <si>
    <t>Change in provisions</t>
  </si>
  <si>
    <t>Amortisation of future fuel</t>
  </si>
  <si>
    <t>Other non-cash items</t>
  </si>
  <si>
    <t>Net fair value loss on derivatives</t>
  </si>
  <si>
    <t>Non-current assets held for resale</t>
  </si>
  <si>
    <t>Changes in working capital</t>
  </si>
  <si>
    <t>Expenditure incurred on provisions</t>
  </si>
  <si>
    <t>Cash flows from operations</t>
  </si>
  <si>
    <t>Finance cost</t>
  </si>
  <si>
    <t>Dividend income</t>
  </si>
  <si>
    <t>Net cash flows from trading assets &amp; liabilities</t>
  </si>
  <si>
    <t>Cash flows from operating activities</t>
  </si>
  <si>
    <t>Acquisition of PPE (net)</t>
  </si>
  <si>
    <t>Acquisition of intangible assets (net)</t>
  </si>
  <si>
    <t>Disposal of interests in associates</t>
  </si>
  <si>
    <t>Future fuel supplies expenditure</t>
  </si>
  <si>
    <t>Non-current trade &amp; other receivables</t>
  </si>
  <si>
    <t>Non-current loans receivable</t>
  </si>
  <si>
    <t>Non-current assets &amp; liabilities held for resale</t>
  </si>
  <si>
    <t>Dividends received</t>
  </si>
  <si>
    <t>Non-current trade &amp; other payables</t>
  </si>
  <si>
    <t>Net movement in debt</t>
  </si>
  <si>
    <t>Net movement in investment in securities</t>
  </si>
  <si>
    <t>Finance lease liabilities</t>
  </si>
  <si>
    <t>Non-current derivatives</t>
  </si>
  <si>
    <t>Interest received</t>
  </si>
  <si>
    <t>Interest paid</t>
  </si>
  <si>
    <t>Net movement in cash &amp; cash equivalents</t>
  </si>
  <si>
    <t>Cash &amp; cash equivalents at beginning of year</t>
  </si>
  <si>
    <t>Cash &amp; cash equivalents at end of year</t>
  </si>
  <si>
    <t>Check</t>
  </si>
  <si>
    <t>Increase in employee benefit obligations</t>
  </si>
  <si>
    <t>Foreign currency translation movements</t>
  </si>
  <si>
    <t>Transfer of assets from customers</t>
  </si>
  <si>
    <t>Share issue</t>
  </si>
  <si>
    <t>Net cash movement for the year</t>
  </si>
  <si>
    <t>Free cash flows</t>
  </si>
  <si>
    <t>Net cash flow prior to debt issues/repayments</t>
  </si>
  <si>
    <t>Interest income/average cash balances</t>
  </si>
  <si>
    <t>Interest expense/average debt</t>
  </si>
  <si>
    <t>10 year CAGR in:</t>
  </si>
  <si>
    <t xml:space="preserve">5. Breakeven analysis </t>
  </si>
  <si>
    <t xml:space="preserve">Contribution </t>
  </si>
  <si>
    <t>Contribution margin</t>
  </si>
  <si>
    <t>Operating costs</t>
  </si>
  <si>
    <t>Capitalised employee costs</t>
  </si>
  <si>
    <t>Operating costs (net)</t>
  </si>
  <si>
    <t>Breakeven revenue</t>
  </si>
  <si>
    <t>Finance expenses (net)</t>
  </si>
  <si>
    <t>Adjusted profit/loss</t>
  </si>
  <si>
    <t>Additional revenue required to breakeven</t>
  </si>
  <si>
    <t>Cost reductions required to breakeven</t>
  </si>
  <si>
    <t>Contribution % required to breakeven</t>
  </si>
  <si>
    <t>Margin of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</si>
</sst>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-1C09]\ #,##0.00"/>
    <numFmt numFmtId="165" formatCode="0.0%"/>
    <numFmt numFmtId="166" formatCode="[$R-1C09]\ #,##0"/>
    <numFmt numFmtId="167" formatCode="0.0"/>
  </numFmts>
  <fonts count="8">
    <font>
      <sz val="11"/>
      <color theme="1"/>
      <name val="ArialMT"/>
      <family val="2"/>
    </font>
    <font>
      <sz val="11"/>
      <color theme="1"/>
      <name val="ArialMT"/>
      <family val="2"/>
    </font>
    <font>
      <b/>
      <sz val="11"/>
      <color theme="1"/>
      <name val="ArialMT"/>
      <family val="2"/>
    </font>
    <font>
      <b/>
      <u/>
      <sz val="11"/>
      <color theme="1"/>
      <name val="ArialMT"/>
      <family val="2"/>
    </font>
    <font>
      <i/>
      <sz val="11"/>
      <color theme="1"/>
      <name val="ArialMT"/>
    </font>
    <font>
      <b/>
      <i/>
      <sz val="11"/>
      <color theme="1"/>
      <name val="ArialMT"/>
    </font>
    <font>
      <u/>
      <sz val="11"/>
      <color theme="10"/>
      <name val="ArialMT"/>
      <family val="2"/>
    </font>
    <font>
      <u/>
      <sz val="11"/>
      <color theme="11"/>
      <name val="Arial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2" borderId="0" xfId="0" applyFill="1"/>
    <xf numFmtId="0" fontId="3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4" fillId="2" borderId="7" xfId="0" applyFont="1" applyFill="1" applyBorder="1"/>
    <xf numFmtId="0" fontId="5" fillId="2" borderId="0" xfId="0" applyFont="1" applyFill="1" applyBorder="1"/>
    <xf numFmtId="0" fontId="5" fillId="2" borderId="8" xfId="0" applyFont="1" applyFill="1" applyBorder="1"/>
    <xf numFmtId="0" fontId="0" fillId="0" borderId="7" xfId="0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2" fillId="0" borderId="7" xfId="0" applyFont="1" applyBorder="1"/>
    <xf numFmtId="0" fontId="0" fillId="0" borderId="7" xfId="0" applyFont="1" applyBorder="1" applyAlignment="1">
      <alignment horizontal="left" indent="1"/>
    </xf>
    <xf numFmtId="3" fontId="0" fillId="0" borderId="10" xfId="0" applyNumberFormat="1" applyBorder="1"/>
    <xf numFmtId="0" fontId="0" fillId="0" borderId="7" xfId="0" applyFont="1" applyBorder="1" applyAlignment="1">
      <alignment horizontal="left"/>
    </xf>
    <xf numFmtId="0" fontId="0" fillId="0" borderId="7" xfId="0" applyBorder="1" applyAlignment="1">
      <alignment horizontal="left" indent="1"/>
    </xf>
    <xf numFmtId="3" fontId="0" fillId="0" borderId="11" xfId="0" applyNumberFormat="1" applyBorder="1"/>
    <xf numFmtId="0" fontId="0" fillId="0" borderId="0" xfId="0" applyBorder="1"/>
    <xf numFmtId="0" fontId="0" fillId="0" borderId="8" xfId="0" applyBorder="1"/>
    <xf numFmtId="165" fontId="0" fillId="0" borderId="0" xfId="1" applyNumberFormat="1" applyFont="1" applyBorder="1"/>
    <xf numFmtId="165" fontId="0" fillId="0" borderId="8" xfId="1" applyNumberFormat="1" applyFont="1" applyBorder="1"/>
    <xf numFmtId="0" fontId="5" fillId="0" borderId="7" xfId="0" applyFont="1" applyBorder="1"/>
    <xf numFmtId="3" fontId="5" fillId="0" borderId="0" xfId="0" applyNumberFormat="1" applyFont="1" applyBorder="1"/>
    <xf numFmtId="0" fontId="0" fillId="0" borderId="0" xfId="0" applyBorder="1" applyAlignment="1">
      <alignment horizontal="left" indent="1"/>
    </xf>
    <xf numFmtId="3" fontId="0" fillId="0" borderId="0" xfId="0" applyNumberFormat="1" applyBorder="1" applyAlignment="1">
      <alignment horizontal="left" inden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4" xfId="0" applyFill="1" applyBorder="1"/>
    <xf numFmtId="0" fontId="5" fillId="2" borderId="7" xfId="0" applyFont="1" applyFill="1" applyBorder="1"/>
    <xf numFmtId="3" fontId="0" fillId="0" borderId="7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165" fontId="0" fillId="0" borderId="7" xfId="1" applyNumberFormat="1" applyFont="1" applyBorder="1"/>
    <xf numFmtId="0" fontId="0" fillId="2" borderId="7" xfId="0" applyFill="1" applyBorder="1"/>
    <xf numFmtId="0" fontId="0" fillId="2" borderId="12" xfId="0" applyFill="1" applyBorder="1"/>
    <xf numFmtId="0" fontId="0" fillId="2" borderId="0" xfId="0" applyFill="1" applyBorder="1"/>
    <xf numFmtId="3" fontId="0" fillId="2" borderId="0" xfId="0" applyNumberFormat="1" applyFill="1" applyBorder="1"/>
    <xf numFmtId="0" fontId="0" fillId="2" borderId="13" xfId="0" applyFill="1" applyBorder="1"/>
    <xf numFmtId="3" fontId="0" fillId="2" borderId="8" xfId="0" applyNumberFormat="1" applyFill="1" applyBorder="1"/>
    <xf numFmtId="0" fontId="0" fillId="2" borderId="8" xfId="0" applyFill="1" applyBorder="1"/>
    <xf numFmtId="0" fontId="0" fillId="0" borderId="1" xfId="0" applyBorder="1"/>
    <xf numFmtId="3" fontId="0" fillId="0" borderId="0" xfId="0" applyNumberFormat="1" applyFill="1" applyBorder="1"/>
    <xf numFmtId="167" fontId="0" fillId="0" borderId="0" xfId="1" applyNumberFormat="1" applyFont="1" applyBorder="1"/>
    <xf numFmtId="167" fontId="0" fillId="0" borderId="8" xfId="1" applyNumberFormat="1" applyFont="1" applyBorder="1"/>
    <xf numFmtId="0" fontId="0" fillId="0" borderId="7" xfId="0" applyFont="1" applyBorder="1"/>
    <xf numFmtId="167" fontId="0" fillId="0" borderId="0" xfId="0" applyNumberFormat="1" applyBorder="1"/>
    <xf numFmtId="167" fontId="0" fillId="0" borderId="8" xfId="0" applyNumberFormat="1" applyBorder="1"/>
    <xf numFmtId="3" fontId="0" fillId="0" borderId="7" xfId="0" applyNumberFormat="1" applyFill="1" applyBorder="1"/>
    <xf numFmtId="167" fontId="0" fillId="0" borderId="7" xfId="1" applyNumberFormat="1" applyFont="1" applyBorder="1"/>
    <xf numFmtId="167" fontId="0" fillId="0" borderId="7" xfId="0" applyNumberFormat="1" applyBorder="1"/>
    <xf numFmtId="0" fontId="3" fillId="0" borderId="7" xfId="0" applyFont="1" applyBorder="1"/>
    <xf numFmtId="164" fontId="0" fillId="0" borderId="0" xfId="0" applyNumberFormat="1" applyBorder="1"/>
    <xf numFmtId="164" fontId="0" fillId="0" borderId="8" xfId="0" applyNumberFormat="1" applyBorder="1"/>
    <xf numFmtId="166" fontId="0" fillId="0" borderId="0" xfId="0" applyNumberFormat="1" applyBorder="1"/>
    <xf numFmtId="166" fontId="0" fillId="0" borderId="8" xfId="0" applyNumberFormat="1" applyBorder="1"/>
    <xf numFmtId="0" fontId="4" fillId="0" borderId="7" xfId="0" applyFont="1" applyBorder="1"/>
    <xf numFmtId="0" fontId="2" fillId="0" borderId="7" xfId="0" applyFont="1" applyBorder="1" applyAlignment="1">
      <alignment horizontal="left"/>
    </xf>
    <xf numFmtId="165" fontId="0" fillId="0" borderId="0" xfId="0" applyNumberFormat="1" applyBorder="1"/>
    <xf numFmtId="165" fontId="0" fillId="0" borderId="8" xfId="0" applyNumberFormat="1" applyBorder="1"/>
    <xf numFmtId="0" fontId="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0" xfId="0" applyNumberFormat="1" applyBorder="1"/>
    <xf numFmtId="1" fontId="0" fillId="0" borderId="8" xfId="0" applyNumberFormat="1" applyBorder="1"/>
    <xf numFmtId="0" fontId="0" fillId="0" borderId="12" xfId="0" applyBorder="1" applyAlignment="1">
      <alignment horizontal="left" indent="1"/>
    </xf>
    <xf numFmtId="1" fontId="0" fillId="0" borderId="13" xfId="0" applyNumberFormat="1" applyBorder="1"/>
    <xf numFmtId="1" fontId="0" fillId="0" borderId="14" xfId="0" applyNumberForma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64" fontId="0" fillId="0" borderId="7" xfId="0" applyNumberFormat="1" applyBorder="1"/>
    <xf numFmtId="166" fontId="0" fillId="0" borderId="7" xfId="0" applyNumberFormat="1" applyBorder="1"/>
    <xf numFmtId="1" fontId="0" fillId="0" borderId="7" xfId="0" applyNumberFormat="1" applyBorder="1"/>
    <xf numFmtId="1" fontId="0" fillId="0" borderId="12" xfId="0" applyNumberFormat="1" applyBorder="1"/>
    <xf numFmtId="3" fontId="4" fillId="0" borderId="0" xfId="0" applyNumberFormat="1" applyFont="1" applyBorder="1"/>
    <xf numFmtId="3" fontId="4" fillId="0" borderId="8" xfId="0" applyNumberFormat="1" applyFont="1" applyBorder="1"/>
    <xf numFmtId="3" fontId="4" fillId="0" borderId="7" xfId="0" applyNumberFormat="1" applyFont="1" applyBorder="1"/>
    <xf numFmtId="0" fontId="3" fillId="2" borderId="0" xfId="0" applyFont="1" applyFill="1" applyBorder="1"/>
    <xf numFmtId="9" fontId="0" fillId="0" borderId="0" xfId="1" applyFont="1" applyBorder="1"/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9" xfId="0" applyBorder="1"/>
    <xf numFmtId="0" fontId="0" fillId="2" borderId="14" xfId="0" applyFill="1" applyBorder="1"/>
    <xf numFmtId="0" fontId="0" fillId="0" borderId="7" xfId="0" applyFont="1" applyFill="1" applyBorder="1"/>
    <xf numFmtId="9" fontId="0" fillId="0" borderId="8" xfId="1" applyFont="1" applyBorder="1"/>
    <xf numFmtId="0" fontId="0" fillId="0" borderId="7" xfId="0" applyFill="1" applyBorder="1"/>
    <xf numFmtId="3" fontId="0" fillId="0" borderId="0" xfId="0" applyNumberFormat="1" applyBorder="1" applyAlignment="1">
      <alignment horizontal="right"/>
    </xf>
    <xf numFmtId="9" fontId="0" fillId="0" borderId="0" xfId="1" applyFont="1" applyBorder="1" applyAlignment="1">
      <alignment horizontal="right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4"/>
  <sheetViews>
    <sheetView showGridLines="0" tabSelected="1" zoomScale="140" zoomScaleNormal="140" workbookViewId="0">
      <pane xSplit="1" ySplit="3" topLeftCell="B239" activePane="bottomRight" state="frozen"/>
      <selection pane="topRight" activeCell="B1" sqref="B1"/>
      <selection pane="bottomLeft" activeCell="A4" sqref="A4"/>
      <selection pane="bottomRight" activeCell="A258" sqref="A258"/>
    </sheetView>
  </sheetViews>
  <sheetFormatPr baseColWidth="10" defaultRowHeight="14"/>
  <cols>
    <col min="1" max="1" width="40.83203125" customWidth="1"/>
    <col min="6" max="6" width="12.33203125" bestFit="1" customWidth="1"/>
  </cols>
  <sheetData>
    <row r="1" spans="1:12">
      <c r="A1" s="83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5"/>
    </row>
    <row r="2" spans="1:12" ht="15" thickBot="1">
      <c r="A2" s="40" t="s">
        <v>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>
      <c r="A3" s="57" t="s">
        <v>1</v>
      </c>
      <c r="B3" s="73">
        <v>2009</v>
      </c>
      <c r="C3" s="74">
        <v>2010</v>
      </c>
      <c r="D3" s="74">
        <v>2011</v>
      </c>
      <c r="E3" s="74">
        <v>2012</v>
      </c>
      <c r="F3" s="74">
        <v>2013</v>
      </c>
      <c r="G3" s="74">
        <v>2014</v>
      </c>
      <c r="H3" s="74">
        <v>2015</v>
      </c>
      <c r="I3" s="74">
        <v>2016</v>
      </c>
      <c r="J3" s="74">
        <v>2017</v>
      </c>
      <c r="K3" s="74">
        <v>2018</v>
      </c>
      <c r="L3" s="75">
        <f>K3+1</f>
        <v>2019</v>
      </c>
    </row>
    <row r="4" spans="1:12">
      <c r="A4" s="12" t="s">
        <v>5</v>
      </c>
      <c r="B4" s="35">
        <v>214850</v>
      </c>
      <c r="C4" s="13">
        <v>218591</v>
      </c>
      <c r="D4" s="13">
        <v>224446</v>
      </c>
      <c r="E4" s="13">
        <v>224785</v>
      </c>
      <c r="F4" s="13">
        <v>216561</v>
      </c>
      <c r="G4" s="13">
        <v>217903</v>
      </c>
      <c r="H4" s="13">
        <v>216274</v>
      </c>
      <c r="I4" s="13">
        <v>214487</v>
      </c>
      <c r="J4" s="13">
        <v>214121</v>
      </c>
      <c r="K4" s="13">
        <v>212190</v>
      </c>
      <c r="L4" s="85">
        <v>208319</v>
      </c>
    </row>
    <row r="5" spans="1:12">
      <c r="A5" s="12" t="s">
        <v>8</v>
      </c>
      <c r="B5" s="76">
        <f t="shared" ref="B5:L5" si="0">B44/B4</f>
        <v>0.24666511519664883</v>
      </c>
      <c r="C5" s="58">
        <f t="shared" si="0"/>
        <v>0.31947335434670227</v>
      </c>
      <c r="D5" s="58">
        <f t="shared" si="0"/>
        <v>0.40265810038940325</v>
      </c>
      <c r="E5" s="58">
        <f t="shared" si="0"/>
        <v>0.50269813377227124</v>
      </c>
      <c r="F5" s="58">
        <f t="shared" si="0"/>
        <v>0.58488370482219787</v>
      </c>
      <c r="G5" s="58">
        <f t="shared" si="0"/>
        <v>0.62811893365396532</v>
      </c>
      <c r="H5" s="58">
        <f t="shared" si="0"/>
        <v>0.67630875648482947</v>
      </c>
      <c r="I5" s="58">
        <f t="shared" si="0"/>
        <v>0.75383589681425911</v>
      </c>
      <c r="J5" s="58">
        <f t="shared" si="0"/>
        <v>0.81773389812302388</v>
      </c>
      <c r="K5" s="58">
        <f t="shared" si="0"/>
        <v>0.82492577407040857</v>
      </c>
      <c r="L5" s="59">
        <f t="shared" si="0"/>
        <v>0.85115615954377666</v>
      </c>
    </row>
    <row r="6" spans="1:12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23"/>
    </row>
    <row r="7" spans="1:12">
      <c r="A7" s="12" t="s">
        <v>15</v>
      </c>
      <c r="B7" s="12"/>
      <c r="C7" s="24">
        <f>(C4/B4)-1</f>
        <v>1.7412148010239603E-2</v>
      </c>
      <c r="D7" s="24">
        <f t="shared" ref="D7:L7" si="1">(D4/C4)-1</f>
        <v>2.6785183287509451E-2</v>
      </c>
      <c r="E7" s="24">
        <f t="shared" si="1"/>
        <v>1.5103855715852266E-3</v>
      </c>
      <c r="F7" s="24">
        <f t="shared" si="1"/>
        <v>-3.6586071134639742E-2</v>
      </c>
      <c r="G7" s="24">
        <f t="shared" si="1"/>
        <v>6.1968683188571294E-3</v>
      </c>
      <c r="H7" s="24">
        <f t="shared" si="1"/>
        <v>-7.4758034538303653E-3</v>
      </c>
      <c r="I7" s="24">
        <f t="shared" si="1"/>
        <v>-8.2626668022970362E-3</v>
      </c>
      <c r="J7" s="24">
        <f t="shared" si="1"/>
        <v>-1.7063971243012066E-3</v>
      </c>
      <c r="K7" s="24">
        <f t="shared" si="1"/>
        <v>-9.0182653733169582E-3</v>
      </c>
      <c r="L7" s="25">
        <f t="shared" si="1"/>
        <v>-1.8243084028465084E-2</v>
      </c>
    </row>
    <row r="8" spans="1:12">
      <c r="A8" s="12" t="s">
        <v>16</v>
      </c>
      <c r="B8" s="12"/>
      <c r="C8" s="24">
        <f>(C5/B5)-1</f>
        <v>0.29517039364082165</v>
      </c>
      <c r="D8" s="24">
        <f t="shared" ref="D8:L8" si="2">(D5/C5)-1</f>
        <v>0.26038085778016518</v>
      </c>
      <c r="E8" s="24">
        <f t="shared" si="2"/>
        <v>0.24844907698645846</v>
      </c>
      <c r="F8" s="24">
        <f t="shared" si="2"/>
        <v>0.16348891218911454</v>
      </c>
      <c r="G8" s="24">
        <f t="shared" si="2"/>
        <v>7.3921069223343849E-2</v>
      </c>
      <c r="H8" s="24">
        <f t="shared" si="2"/>
        <v>7.6720856909262114E-2</v>
      </c>
      <c r="I8" s="24">
        <f t="shared" si="2"/>
        <v>0.11463276142154855</v>
      </c>
      <c r="J8" s="24">
        <f t="shared" si="2"/>
        <v>8.4763808116329109E-2</v>
      </c>
      <c r="K8" s="24">
        <f t="shared" si="2"/>
        <v>8.7948854314252589E-3</v>
      </c>
      <c r="L8" s="25">
        <f t="shared" si="2"/>
        <v>3.179726746073186E-2</v>
      </c>
    </row>
    <row r="9" spans="1:12">
      <c r="A9" s="12"/>
      <c r="B9" s="12"/>
      <c r="C9" s="13"/>
      <c r="D9" s="13"/>
      <c r="E9" s="13"/>
      <c r="F9" s="13"/>
      <c r="G9" s="13"/>
      <c r="H9" s="13"/>
      <c r="I9" s="13"/>
      <c r="J9" s="13"/>
      <c r="K9" s="24"/>
      <c r="L9" s="23"/>
    </row>
    <row r="10" spans="1:12">
      <c r="A10" s="12" t="s">
        <v>48</v>
      </c>
      <c r="B10" s="12"/>
      <c r="C10" s="24">
        <f>(C46/B46)-1</f>
        <v>0.31437694962807106</v>
      </c>
      <c r="D10" s="24">
        <f t="shared" ref="D10:L10" si="3">(D46/C46)-1</f>
        <v>0.28420564816245131</v>
      </c>
      <c r="E10" s="24">
        <f t="shared" si="3"/>
        <v>0.25588592299364654</v>
      </c>
      <c r="F10" s="24">
        <f t="shared" si="3"/>
        <v>0.12209287138540836</v>
      </c>
      <c r="G10" s="24">
        <f t="shared" si="3"/>
        <v>7.328372222955104E-2</v>
      </c>
      <c r="H10" s="24">
        <f t="shared" si="3"/>
        <v>6.7802737269815561E-2</v>
      </c>
      <c r="I10" s="24">
        <f t="shared" si="3"/>
        <v>0.11204474206282033</v>
      </c>
      <c r="J10" s="24">
        <f t="shared" si="3"/>
        <v>7.8525806903354312E-2</v>
      </c>
      <c r="K10" s="24">
        <f t="shared" si="3"/>
        <v>1.6258693884925179E-3</v>
      </c>
      <c r="L10" s="25">
        <f t="shared" si="3"/>
        <v>1.3910181260708754E-2</v>
      </c>
    </row>
    <row r="11" spans="1:12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23"/>
    </row>
    <row r="12" spans="1:12">
      <c r="A12" s="12" t="s">
        <v>41</v>
      </c>
      <c r="B12" s="39">
        <f t="shared" ref="B12:J12" si="4">-B48/B44</f>
        <v>0.46954487131104233</v>
      </c>
      <c r="C12" s="24">
        <f t="shared" si="4"/>
        <v>0.41670246584758142</v>
      </c>
      <c r="D12" s="24">
        <f t="shared" si="4"/>
        <v>0.3960719225449516</v>
      </c>
      <c r="E12" s="24">
        <f t="shared" si="4"/>
        <v>0.40986203417729361</v>
      </c>
      <c r="F12" s="24">
        <f t="shared" si="4"/>
        <v>0.4796033569392798</v>
      </c>
      <c r="G12" s="24">
        <f t="shared" si="4"/>
        <v>0.51006436811841982</v>
      </c>
      <c r="H12" s="24">
        <f t="shared" si="4"/>
        <v>0.57035715262395059</v>
      </c>
      <c r="I12" s="24">
        <f t="shared" si="4"/>
        <v>0.52402157241106329</v>
      </c>
      <c r="J12" s="24">
        <f t="shared" si="4"/>
        <v>0.4726603995568095</v>
      </c>
      <c r="K12" s="24">
        <f>-K48/K44</f>
        <v>0.48675453179540795</v>
      </c>
      <c r="L12" s="25">
        <f>-L48/L44</f>
        <v>0.56109005594658001</v>
      </c>
    </row>
    <row r="13" spans="1:12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23"/>
    </row>
    <row r="14" spans="1:12">
      <c r="A14" s="12" t="s">
        <v>21</v>
      </c>
      <c r="B14" s="35">
        <v>37857</v>
      </c>
      <c r="C14" s="13">
        <v>39222</v>
      </c>
      <c r="D14" s="13">
        <v>41778</v>
      </c>
      <c r="E14" s="13">
        <v>43473</v>
      </c>
      <c r="F14" s="13">
        <v>46266</v>
      </c>
      <c r="G14" s="13">
        <v>46919</v>
      </c>
      <c r="H14" s="13">
        <v>46490</v>
      </c>
      <c r="I14" s="13">
        <v>47658</v>
      </c>
      <c r="J14" s="13">
        <v>47658</v>
      </c>
      <c r="K14" s="13">
        <v>48628</v>
      </c>
      <c r="L14" s="85">
        <v>46665</v>
      </c>
    </row>
    <row r="15" spans="1:12">
      <c r="A15" s="12" t="s">
        <v>24</v>
      </c>
      <c r="B15" s="77">
        <f t="shared" ref="B15:L15" si="5">-B53*1000000/B14</f>
        <v>399793.96148664714</v>
      </c>
      <c r="C15" s="60">
        <f t="shared" si="5"/>
        <v>443373.61684768752</v>
      </c>
      <c r="D15" s="60">
        <f t="shared" si="5"/>
        <v>487816.55416726507</v>
      </c>
      <c r="E15" s="60">
        <f t="shared" si="5"/>
        <v>561244.9106341867</v>
      </c>
      <c r="F15" s="60">
        <f t="shared" si="5"/>
        <v>619482.98966843903</v>
      </c>
      <c r="G15" s="60">
        <f t="shared" si="5"/>
        <v>667618.66194931685</v>
      </c>
      <c r="H15" s="60">
        <f t="shared" si="5"/>
        <v>695117.22951172292</v>
      </c>
      <c r="I15" s="60">
        <f t="shared" si="5"/>
        <v>682424.77653279621</v>
      </c>
      <c r="J15" s="60">
        <f t="shared" si="5"/>
        <v>772860.79986570985</v>
      </c>
      <c r="K15" s="60">
        <f t="shared" si="5"/>
        <v>671526.69244056917</v>
      </c>
      <c r="L15" s="61">
        <f t="shared" si="5"/>
        <v>785556.62702239363</v>
      </c>
    </row>
    <row r="16" spans="1:12">
      <c r="A16" s="12"/>
      <c r="B16" s="12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>
      <c r="A17" s="12" t="s">
        <v>25</v>
      </c>
      <c r="B17" s="39"/>
      <c r="C17" s="24">
        <f t="shared" ref="C17:J17" si="6">(C14/B14)-1</f>
        <v>3.605673983675417E-2</v>
      </c>
      <c r="D17" s="24">
        <f t="shared" si="6"/>
        <v>6.5167508031207078E-2</v>
      </c>
      <c r="E17" s="24">
        <f t="shared" si="6"/>
        <v>4.0571592704294224E-2</v>
      </c>
      <c r="F17" s="24">
        <f t="shared" si="6"/>
        <v>6.4246773859637063E-2</v>
      </c>
      <c r="G17" s="24">
        <f t="shared" si="6"/>
        <v>1.4114036225305826E-2</v>
      </c>
      <c r="H17" s="24">
        <f t="shared" si="6"/>
        <v>-9.1434173788870199E-3</v>
      </c>
      <c r="I17" s="24">
        <f t="shared" si="6"/>
        <v>2.5123682512368184E-2</v>
      </c>
      <c r="J17" s="24">
        <f t="shared" si="6"/>
        <v>0</v>
      </c>
      <c r="K17" s="24">
        <f>(K14/J14)-1</f>
        <v>2.035335095891555E-2</v>
      </c>
      <c r="L17" s="25">
        <f>(L14/K14)-1</f>
        <v>-4.0367689397055151E-2</v>
      </c>
    </row>
    <row r="18" spans="1:12">
      <c r="A18" s="12" t="s">
        <v>26</v>
      </c>
      <c r="B18" s="39"/>
      <c r="C18" s="24">
        <f t="shared" ref="C18:I18" si="7">(C15/B15)-1</f>
        <v>0.10900528662060815</v>
      </c>
      <c r="D18" s="24">
        <f t="shared" si="7"/>
        <v>0.10023811889295398</v>
      </c>
      <c r="E18" s="24">
        <f t="shared" si="7"/>
        <v>0.15052452779563552</v>
      </c>
      <c r="F18" s="24">
        <f t="shared" si="7"/>
        <v>0.10376589244870904</v>
      </c>
      <c r="G18" s="24">
        <f t="shared" si="7"/>
        <v>7.7702976649352662E-2</v>
      </c>
      <c r="H18" s="24">
        <f t="shared" si="7"/>
        <v>4.1189033694947419E-2</v>
      </c>
      <c r="I18" s="24">
        <f t="shared" si="7"/>
        <v>-1.8259442350238353E-2</v>
      </c>
      <c r="J18" s="24">
        <f>(J15/I15)-1</f>
        <v>0.13252160009839176</v>
      </c>
      <c r="K18" s="24">
        <f>(K15/J15)-1</f>
        <v>-0.13111559991495003</v>
      </c>
      <c r="L18" s="25">
        <f>(L15/K15)-1</f>
        <v>0.16980700226136758</v>
      </c>
    </row>
    <row r="19" spans="1:12">
      <c r="A19" s="12"/>
      <c r="B19" s="12"/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1:12">
      <c r="A20" s="62" t="s">
        <v>44</v>
      </c>
      <c r="B20" s="12"/>
      <c r="C20" s="22"/>
      <c r="D20" s="22"/>
      <c r="E20" s="22"/>
      <c r="F20" s="22"/>
      <c r="G20" s="22"/>
      <c r="H20" s="22"/>
      <c r="I20" s="22"/>
      <c r="J20" s="22"/>
      <c r="K20" s="22"/>
      <c r="L20" s="23"/>
    </row>
    <row r="21" spans="1:12">
      <c r="A21" s="20" t="s">
        <v>17</v>
      </c>
      <c r="B21" s="12"/>
      <c r="C21" s="24">
        <f>(C48/B48)-1</f>
        <v>0.16942613727696521</v>
      </c>
      <c r="D21" s="24">
        <f t="shared" ref="D21:L21" si="8">(D48/C48)-1</f>
        <v>0.23006872852233684</v>
      </c>
      <c r="E21" s="24">
        <f t="shared" si="8"/>
        <v>0.29386785863947473</v>
      </c>
      <c r="F21" s="24">
        <f t="shared" si="8"/>
        <v>0.31165522304270854</v>
      </c>
      <c r="G21" s="24">
        <f t="shared" si="8"/>
        <v>0.14920655824060058</v>
      </c>
      <c r="H21" s="24">
        <f t="shared" si="8"/>
        <v>0.19499512977711575</v>
      </c>
      <c r="I21" s="24">
        <f t="shared" si="8"/>
        <v>1.5618819298771403E-2</v>
      </c>
      <c r="J21" s="24">
        <f t="shared" si="8"/>
        <v>-2.3227268435464077E-2</v>
      </c>
      <c r="K21" s="24">
        <f t="shared" si="8"/>
        <v>2.9507008216529629E-2</v>
      </c>
      <c r="L21" s="25">
        <f t="shared" si="8"/>
        <v>0.16767212037276114</v>
      </c>
    </row>
    <row r="22" spans="1:12">
      <c r="A22" s="20" t="s">
        <v>45</v>
      </c>
      <c r="B22" s="12"/>
      <c r="C22" s="24">
        <f>(C53/B53)-1</f>
        <v>0.14899240171787254</v>
      </c>
      <c r="D22" s="24">
        <f t="shared" ref="D22:L22" si="9">(D53/C53)-1</f>
        <v>0.17193789534215065</v>
      </c>
      <c r="E22" s="24">
        <f t="shared" si="9"/>
        <v>0.19720314033366049</v>
      </c>
      <c r="F22" s="24">
        <f t="shared" si="9"/>
        <v>0.17467929013484151</v>
      </c>
      <c r="G22" s="24">
        <f t="shared" si="9"/>
        <v>9.2913715501901528E-2</v>
      </c>
      <c r="H22" s="24">
        <f t="shared" si="9"/>
        <v>3.1669007789554282E-2</v>
      </c>
      <c r="I22" s="24">
        <f t="shared" si="9"/>
        <v>6.4054957296695303E-3</v>
      </c>
      <c r="J22" s="24">
        <f t="shared" si="9"/>
        <v>0.13252160009839198</v>
      </c>
      <c r="K22" s="24">
        <f t="shared" si="9"/>
        <v>-0.11343089077729207</v>
      </c>
      <c r="L22" s="25">
        <f t="shared" si="9"/>
        <v>0.12258459653958043</v>
      </c>
    </row>
    <row r="23" spans="1:12">
      <c r="A23" s="20" t="s">
        <v>46</v>
      </c>
      <c r="B23" s="12"/>
      <c r="C23" s="24">
        <f>(C55/B55)-1</f>
        <v>-3.9701391245334228E-2</v>
      </c>
      <c r="D23" s="24">
        <f t="shared" ref="D23:L23" si="10">(D55/C55)-1</f>
        <v>0.57296819787985864</v>
      </c>
      <c r="E23" s="24">
        <f t="shared" si="10"/>
        <v>0.3328091654498484</v>
      </c>
      <c r="F23" s="24">
        <f t="shared" si="10"/>
        <v>0.53918759480869705</v>
      </c>
      <c r="G23" s="24">
        <f t="shared" si="10"/>
        <v>-0.19502847130968026</v>
      </c>
      <c r="H23" s="24">
        <f t="shared" si="10"/>
        <v>-0.12025574751734458</v>
      </c>
      <c r="I23" s="24">
        <f t="shared" si="10"/>
        <v>0.27810422143188496</v>
      </c>
      <c r="J23" s="24">
        <f t="shared" si="10"/>
        <v>0.26429133143790451</v>
      </c>
      <c r="K23" s="24">
        <f t="shared" si="10"/>
        <v>-0.22574162679425835</v>
      </c>
      <c r="L23" s="25">
        <f t="shared" si="10"/>
        <v>-2.8550241008527988E-2</v>
      </c>
    </row>
    <row r="24" spans="1:12">
      <c r="A24" s="20" t="s">
        <v>47</v>
      </c>
      <c r="B24" s="12"/>
      <c r="C24" s="24">
        <f>((C48+C53+C55+C56)/(B56+B55+B53+B48))-1</f>
        <v>0.12416928996152499</v>
      </c>
      <c r="D24" s="24">
        <f t="shared" ref="D24:L24" si="11">((D48+D53+D55+D56)/(C56+C55+C53+C48))-1</f>
        <v>0.24903913027563229</v>
      </c>
      <c r="E24" s="24">
        <f t="shared" si="11"/>
        <v>0.25966737489925995</v>
      </c>
      <c r="F24" s="24">
        <f t="shared" si="11"/>
        <v>0.30902915105972117</v>
      </c>
      <c r="G24" s="24">
        <f t="shared" si="11"/>
        <v>6.9144776596879121E-2</v>
      </c>
      <c r="H24" s="24">
        <f t="shared" si="11"/>
        <v>9.3082210567436707E-2</v>
      </c>
      <c r="I24" s="24">
        <f t="shared" si="11"/>
        <v>3.3472230670965386E-2</v>
      </c>
      <c r="J24" s="24">
        <f t="shared" si="11"/>
        <v>5.3335197257089018E-2</v>
      </c>
      <c r="K24" s="24">
        <f t="shared" si="11"/>
        <v>-4.9440148641757942E-2</v>
      </c>
      <c r="L24" s="25">
        <f t="shared" si="11"/>
        <v>0.13429106808244851</v>
      </c>
    </row>
    <row r="25" spans="1:12">
      <c r="A25" s="20"/>
      <c r="B25" s="12"/>
      <c r="C25" s="22"/>
      <c r="D25" s="22"/>
      <c r="E25" s="22"/>
      <c r="F25" s="22"/>
      <c r="G25" s="22"/>
      <c r="H25" s="22"/>
      <c r="I25" s="22"/>
      <c r="J25" s="22"/>
      <c r="K25" s="22"/>
      <c r="L25" s="23"/>
    </row>
    <row r="26" spans="1:12">
      <c r="A26" s="63" t="s">
        <v>49</v>
      </c>
      <c r="B26" s="12"/>
      <c r="C26" s="64">
        <f>C10-C24</f>
        <v>0.19020765966654607</v>
      </c>
      <c r="D26" s="64">
        <f t="shared" ref="D26:K26" si="12">D10-D24</f>
        <v>3.5166517886819015E-2</v>
      </c>
      <c r="E26" s="64">
        <f t="shared" si="12"/>
        <v>-3.7814519056134088E-3</v>
      </c>
      <c r="F26" s="64">
        <f t="shared" si="12"/>
        <v>-0.18693627967431281</v>
      </c>
      <c r="G26" s="64">
        <f t="shared" si="12"/>
        <v>4.1389456326719198E-3</v>
      </c>
      <c r="H26" s="64">
        <f t="shared" si="12"/>
        <v>-2.5279473297621147E-2</v>
      </c>
      <c r="I26" s="64">
        <f t="shared" si="12"/>
        <v>7.8572511391854949E-2</v>
      </c>
      <c r="J26" s="64">
        <f t="shared" si="12"/>
        <v>2.5190609646265294E-2</v>
      </c>
      <c r="K26" s="64">
        <f t="shared" si="12"/>
        <v>5.106601803025046E-2</v>
      </c>
      <c r="L26" s="65">
        <f t="shared" ref="L26" si="13">L10-L24</f>
        <v>-0.12038088682173975</v>
      </c>
    </row>
    <row r="27" spans="1:12">
      <c r="A27" s="63"/>
      <c r="B27" s="12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>
      <c r="A28" s="19" t="s">
        <v>153</v>
      </c>
      <c r="B28" s="12"/>
      <c r="C28" s="24">
        <f>C62/((B126+C126)/2)</f>
        <v>9.5156678359814881E-2</v>
      </c>
      <c r="D28" s="24">
        <f t="shared" ref="D28:L28" si="14">D62/((C126+D126)/2)</f>
        <v>0.1763428405964963</v>
      </c>
      <c r="E28" s="24">
        <f t="shared" si="14"/>
        <v>0.22468846117259092</v>
      </c>
      <c r="F28" s="24">
        <f t="shared" si="14"/>
        <v>0.1875623545061523</v>
      </c>
      <c r="G28" s="24">
        <f t="shared" si="14"/>
        <v>0.21052284129918142</v>
      </c>
      <c r="H28" s="24">
        <f t="shared" si="14"/>
        <v>0.20995830267353446</v>
      </c>
      <c r="I28" s="24">
        <f t="shared" si="14"/>
        <v>0.18474153870889942</v>
      </c>
      <c r="J28" s="24">
        <f t="shared" si="14"/>
        <v>0.21326131876675056</v>
      </c>
      <c r="K28" s="24">
        <f t="shared" si="14"/>
        <v>0.15846391525049658</v>
      </c>
      <c r="L28" s="25">
        <f t="shared" si="14"/>
        <v>0.30491766550912963</v>
      </c>
    </row>
    <row r="29" spans="1:12">
      <c r="A29" s="19" t="s">
        <v>154</v>
      </c>
      <c r="B29" s="12"/>
      <c r="C29" s="24">
        <f>-C63/((C134+B134+B145+C145)/2)</f>
        <v>0.12305933158300815</v>
      </c>
      <c r="D29" s="24">
        <f t="shared" ref="D29:L29" si="15">-D63/((D134+C134+C145+D145)/2)</f>
        <v>0.11841537011375115</v>
      </c>
      <c r="E29" s="24">
        <f t="shared" si="15"/>
        <v>0.10481892923701502</v>
      </c>
      <c r="F29" s="24">
        <f t="shared" si="15"/>
        <v>0.10772898115028157</v>
      </c>
      <c r="G29" s="24">
        <f t="shared" si="15"/>
        <v>8.9725105728565929E-2</v>
      </c>
      <c r="H29" s="24">
        <f t="shared" si="15"/>
        <v>9.5948603360048096E-2</v>
      </c>
      <c r="I29" s="24">
        <f t="shared" si="15"/>
        <v>9.9314295298117056E-2</v>
      </c>
      <c r="J29" s="24">
        <f t="shared" si="15"/>
        <v>0.11157623333598836</v>
      </c>
      <c r="K29" s="24">
        <f t="shared" si="15"/>
        <v>0.1115830447966623</v>
      </c>
      <c r="L29" s="25">
        <f t="shared" si="15"/>
        <v>0.11001406015237057</v>
      </c>
    </row>
    <row r="30" spans="1:12">
      <c r="A30" s="20"/>
      <c r="B30" s="12"/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1:12">
      <c r="A31" s="66" t="s">
        <v>103</v>
      </c>
      <c r="B31" s="1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>
      <c r="A32" s="67" t="s">
        <v>104</v>
      </c>
      <c r="B32" s="78">
        <f>B115/-B48*365</f>
        <v>96.530501527085676</v>
      </c>
      <c r="C32" s="68">
        <f t="shared" ref="C32:K32" si="16">C115/-C48*365</f>
        <v>92.54192439862544</v>
      </c>
      <c r="D32" s="68">
        <f t="shared" si="16"/>
        <v>90.793686269031994</v>
      </c>
      <c r="E32" s="68">
        <f t="shared" si="16"/>
        <v>78.258194066588942</v>
      </c>
      <c r="F32" s="68">
        <f t="shared" si="16"/>
        <v>73.609254625666679</v>
      </c>
      <c r="G32" s="68">
        <f t="shared" si="16"/>
        <v>64.946284306422967</v>
      </c>
      <c r="H32" s="68">
        <f t="shared" si="16"/>
        <v>70.147377884327241</v>
      </c>
      <c r="I32" s="68">
        <f t="shared" si="16"/>
        <v>76.771138230573129</v>
      </c>
      <c r="J32" s="68">
        <f t="shared" si="16"/>
        <v>98.610862735621069</v>
      </c>
      <c r="K32" s="68">
        <f t="shared" si="16"/>
        <v>104.30529799769957</v>
      </c>
      <c r="L32" s="69">
        <f t="shared" ref="L32" si="17">L115/-L48*365</f>
        <v>97.156742521711152</v>
      </c>
    </row>
    <row r="33" spans="1:12">
      <c r="A33" s="67" t="s">
        <v>105</v>
      </c>
      <c r="B33" s="78">
        <f>B121/B46*365</f>
        <v>47.766579913985638</v>
      </c>
      <c r="C33" s="68">
        <f t="shared" ref="C33:K33" si="18">C121/C46*365</f>
        <v>47.746422502773527</v>
      </c>
      <c r="D33" s="68">
        <f t="shared" si="18"/>
        <v>47.333810841252308</v>
      </c>
      <c r="E33" s="68">
        <f t="shared" si="18"/>
        <v>47.144548834536387</v>
      </c>
      <c r="F33" s="68">
        <f t="shared" si="18"/>
        <v>48.444234067153467</v>
      </c>
      <c r="G33" s="68">
        <f t="shared" si="18"/>
        <v>54.525821867792615</v>
      </c>
      <c r="H33" s="68">
        <f t="shared" si="18"/>
        <v>56.275704003629201</v>
      </c>
      <c r="I33" s="68">
        <f t="shared" si="18"/>
        <v>55.46593683595249</v>
      </c>
      <c r="J33" s="68">
        <f t="shared" si="18"/>
        <v>55.709398428326253</v>
      </c>
      <c r="K33" s="68">
        <f t="shared" si="18"/>
        <v>57.114567364054466</v>
      </c>
      <c r="L33" s="69">
        <f t="shared" ref="L33" si="19">L121/L46*365</f>
        <v>57.016793409378963</v>
      </c>
    </row>
    <row r="34" spans="1:12">
      <c r="A34" s="67" t="s">
        <v>106</v>
      </c>
      <c r="B34" s="78">
        <f>B150/-B48*365</f>
        <v>205.13281626748113</v>
      </c>
      <c r="C34" s="68">
        <f t="shared" ref="C34:K34" si="20">C150/-C48*365</f>
        <v>163.39707903780069</v>
      </c>
      <c r="D34" s="68">
        <f t="shared" si="20"/>
        <v>160.05140382735019</v>
      </c>
      <c r="E34" s="68">
        <f t="shared" si="20"/>
        <v>128.03450360582113</v>
      </c>
      <c r="F34" s="68">
        <f t="shared" si="20"/>
        <v>128.79666820306844</v>
      </c>
      <c r="G34" s="68">
        <f t="shared" si="20"/>
        <v>108.87469203002348</v>
      </c>
      <c r="H34" s="68">
        <f t="shared" si="20"/>
        <v>93.344620916991303</v>
      </c>
      <c r="I34" s="68">
        <f t="shared" si="20"/>
        <v>97.298295722783493</v>
      </c>
      <c r="J34" s="68">
        <f t="shared" si="20"/>
        <v>91.867448042532615</v>
      </c>
      <c r="K34" s="68">
        <f t="shared" si="20"/>
        <v>85.957195840473233</v>
      </c>
      <c r="L34" s="69">
        <f t="shared" ref="L34" si="21">L150/-L48*365</f>
        <v>86.660350997105184</v>
      </c>
    </row>
    <row r="35" spans="1:12" ht="15" thickBot="1">
      <c r="A35" s="70"/>
      <c r="B35" s="79"/>
      <c r="C35" s="71"/>
      <c r="D35" s="71"/>
      <c r="E35" s="71"/>
      <c r="F35" s="71"/>
      <c r="G35" s="71"/>
      <c r="H35" s="71"/>
      <c r="I35" s="71"/>
      <c r="J35" s="71"/>
      <c r="K35" s="71"/>
      <c r="L35" s="72"/>
    </row>
    <row r="36" spans="1:12" ht="15" thickBot="1">
      <c r="C36" s="1"/>
      <c r="L36" s="22"/>
    </row>
    <row r="37" spans="1:12">
      <c r="A37" s="6" t="s">
        <v>3</v>
      </c>
      <c r="B37" s="33"/>
      <c r="C37" s="7"/>
      <c r="D37" s="7"/>
      <c r="E37" s="7"/>
      <c r="F37" s="7"/>
      <c r="G37" s="7"/>
      <c r="H37" s="7"/>
      <c r="I37" s="7"/>
      <c r="J37" s="7"/>
      <c r="K37" s="7"/>
      <c r="L37" s="8"/>
    </row>
    <row r="38" spans="1:12">
      <c r="A38" s="9" t="s">
        <v>4</v>
      </c>
      <c r="B38" s="34">
        <v>2009</v>
      </c>
      <c r="C38" s="10">
        <v>2010</v>
      </c>
      <c r="D38" s="10">
        <v>2011</v>
      </c>
      <c r="E38" s="10">
        <v>2012</v>
      </c>
      <c r="F38" s="10">
        <v>2013</v>
      </c>
      <c r="G38" s="10">
        <v>2014</v>
      </c>
      <c r="H38" s="10">
        <v>2015</v>
      </c>
      <c r="I38" s="10">
        <v>2016</v>
      </c>
      <c r="J38" s="10">
        <v>2017</v>
      </c>
      <c r="K38" s="10">
        <v>2018</v>
      </c>
      <c r="L38" s="11">
        <v>2019</v>
      </c>
    </row>
    <row r="39" spans="1:12">
      <c r="A39" s="12"/>
      <c r="B39" s="35"/>
      <c r="C39" s="13"/>
      <c r="D39" s="13"/>
      <c r="E39" s="13"/>
      <c r="F39" s="13"/>
      <c r="G39" s="13"/>
      <c r="H39" s="13"/>
      <c r="I39" s="13"/>
      <c r="J39" s="13"/>
      <c r="K39" s="13"/>
      <c r="L39" s="23"/>
    </row>
    <row r="40" spans="1:12">
      <c r="A40" s="12" t="s">
        <v>7</v>
      </c>
      <c r="B40" s="35">
        <v>52996</v>
      </c>
      <c r="C40" s="13">
        <v>69834</v>
      </c>
      <c r="D40" s="13">
        <v>90375</v>
      </c>
      <c r="E40" s="13">
        <v>112999</v>
      </c>
      <c r="F40" s="13">
        <v>126663</v>
      </c>
      <c r="G40" s="13">
        <v>135575</v>
      </c>
      <c r="H40" s="13">
        <v>146380</v>
      </c>
      <c r="I40" s="13">
        <v>163014</v>
      </c>
      <c r="J40" s="13">
        <v>178495</v>
      </c>
      <c r="K40" s="13">
        <v>180060</v>
      </c>
      <c r="L40" s="85">
        <v>180705</v>
      </c>
    </row>
    <row r="41" spans="1:12">
      <c r="A41" s="12" t="s">
        <v>9</v>
      </c>
      <c r="B41" s="35">
        <v>0</v>
      </c>
      <c r="C41" s="13">
        <v>0</v>
      </c>
      <c r="D41" s="13">
        <v>0</v>
      </c>
      <c r="E41" s="13">
        <v>0</v>
      </c>
      <c r="F41" s="13">
        <v>0</v>
      </c>
      <c r="G41" s="13">
        <v>1322</v>
      </c>
      <c r="H41" s="13">
        <v>485</v>
      </c>
      <c r="I41" s="13">
        <v>513</v>
      </c>
      <c r="J41" s="13">
        <v>512</v>
      </c>
      <c r="K41" s="13">
        <v>430</v>
      </c>
      <c r="L41" s="85">
        <v>0</v>
      </c>
    </row>
    <row r="42" spans="1:12">
      <c r="A42" s="12" t="s">
        <v>10</v>
      </c>
      <c r="B42" s="35">
        <v>0</v>
      </c>
      <c r="C42" s="13">
        <v>0</v>
      </c>
      <c r="D42" s="13">
        <v>0</v>
      </c>
      <c r="E42" s="13">
        <v>0</v>
      </c>
      <c r="F42" s="13">
        <v>0</v>
      </c>
      <c r="G42" s="13">
        <v>-28</v>
      </c>
      <c r="H42" s="13">
        <v>0</v>
      </c>
      <c r="I42" s="13">
        <v>-367</v>
      </c>
      <c r="J42" s="13">
        <v>-717</v>
      </c>
      <c r="K42" s="13">
        <v>-2172</v>
      </c>
      <c r="L42" s="85">
        <v>-3393</v>
      </c>
    </row>
    <row r="43" spans="1:12">
      <c r="A43" s="12" t="s">
        <v>11</v>
      </c>
      <c r="B43" s="36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-597</v>
      </c>
      <c r="I43" s="2">
        <v>-1472</v>
      </c>
      <c r="J43" s="2">
        <v>-3196</v>
      </c>
      <c r="K43" s="2">
        <v>-3277</v>
      </c>
      <c r="L43" s="86">
        <v>0</v>
      </c>
    </row>
    <row r="44" spans="1:12">
      <c r="A44" s="16" t="s">
        <v>6</v>
      </c>
      <c r="B44" s="35">
        <f t="shared" ref="B44:J44" si="22">SUM(B40:B43)</f>
        <v>52996</v>
      </c>
      <c r="C44" s="13">
        <f t="shared" si="22"/>
        <v>69834</v>
      </c>
      <c r="D44" s="13">
        <f t="shared" si="22"/>
        <v>90375</v>
      </c>
      <c r="E44" s="13">
        <f t="shared" si="22"/>
        <v>112999</v>
      </c>
      <c r="F44" s="13">
        <f t="shared" si="22"/>
        <v>126663</v>
      </c>
      <c r="G44" s="13">
        <f t="shared" si="22"/>
        <v>136869</v>
      </c>
      <c r="H44" s="13">
        <f t="shared" si="22"/>
        <v>146268</v>
      </c>
      <c r="I44" s="13">
        <f t="shared" si="22"/>
        <v>161688</v>
      </c>
      <c r="J44" s="13">
        <f t="shared" si="22"/>
        <v>175094</v>
      </c>
      <c r="K44" s="13">
        <f>SUM(K40:K43)</f>
        <v>175041</v>
      </c>
      <c r="L44" s="14">
        <f>SUM(L40:L43)</f>
        <v>177312</v>
      </c>
    </row>
    <row r="45" spans="1:12">
      <c r="A45" s="12" t="s">
        <v>12</v>
      </c>
      <c r="B45" s="36">
        <v>1181</v>
      </c>
      <c r="C45" s="2">
        <v>1375</v>
      </c>
      <c r="D45" s="2">
        <v>1072</v>
      </c>
      <c r="E45" s="2">
        <v>1848</v>
      </c>
      <c r="F45" s="2">
        <v>2206</v>
      </c>
      <c r="G45" s="2">
        <f>143+1301</f>
        <v>1444</v>
      </c>
      <c r="H45" s="2">
        <f>143+1280</f>
        <v>1423</v>
      </c>
      <c r="I45" s="2">
        <v>2551</v>
      </c>
      <c r="J45" s="2">
        <v>2042</v>
      </c>
      <c r="K45" s="2">
        <v>2383</v>
      </c>
      <c r="L45" s="87">
        <v>2580</v>
      </c>
    </row>
    <row r="46" spans="1:12">
      <c r="A46" s="16" t="s">
        <v>14</v>
      </c>
      <c r="B46" s="35">
        <f t="shared" ref="B46:J46" si="23">SUM(B44:B45)</f>
        <v>54177</v>
      </c>
      <c r="C46" s="13">
        <f t="shared" si="23"/>
        <v>71209</v>
      </c>
      <c r="D46" s="13">
        <f t="shared" si="23"/>
        <v>91447</v>
      </c>
      <c r="E46" s="13">
        <f t="shared" si="23"/>
        <v>114847</v>
      </c>
      <c r="F46" s="13">
        <f t="shared" si="23"/>
        <v>128869</v>
      </c>
      <c r="G46" s="13">
        <f t="shared" si="23"/>
        <v>138313</v>
      </c>
      <c r="H46" s="13">
        <f t="shared" si="23"/>
        <v>147691</v>
      </c>
      <c r="I46" s="13">
        <f t="shared" si="23"/>
        <v>164239</v>
      </c>
      <c r="J46" s="13">
        <f t="shared" si="23"/>
        <v>177136</v>
      </c>
      <c r="K46" s="13">
        <f>SUM(K44:K45)</f>
        <v>177424</v>
      </c>
      <c r="L46" s="14">
        <f>SUM(L44:L45)</f>
        <v>179892</v>
      </c>
    </row>
    <row r="47" spans="1:12">
      <c r="A47" s="12" t="s">
        <v>13</v>
      </c>
      <c r="B47" s="35">
        <v>610</v>
      </c>
      <c r="C47" s="13">
        <v>557</v>
      </c>
      <c r="D47" s="13">
        <v>587</v>
      </c>
      <c r="E47" s="13">
        <v>712</v>
      </c>
      <c r="F47" s="13">
        <v>1155</v>
      </c>
      <c r="G47" s="13">
        <v>1441</v>
      </c>
      <c r="H47" s="13">
        <v>4444</v>
      </c>
      <c r="I47" s="13">
        <v>2390</v>
      </c>
      <c r="J47" s="13">
        <v>1572</v>
      </c>
      <c r="K47" s="13">
        <v>1372</v>
      </c>
      <c r="L47" s="85">
        <v>2150</v>
      </c>
    </row>
    <row r="48" spans="1:12">
      <c r="A48" s="16" t="s">
        <v>17</v>
      </c>
      <c r="B48" s="35">
        <v>-24884</v>
      </c>
      <c r="C48" s="13">
        <v>-29100</v>
      </c>
      <c r="D48" s="13">
        <v>-35795</v>
      </c>
      <c r="E48" s="13">
        <v>-46314</v>
      </c>
      <c r="F48" s="13">
        <v>-60748</v>
      </c>
      <c r="G48" s="13">
        <f t="shared" ref="G48:J48" si="24">SUM(G49:G51)</f>
        <v>-69812</v>
      </c>
      <c r="H48" s="13">
        <f t="shared" si="24"/>
        <v>-83425</v>
      </c>
      <c r="I48" s="13">
        <f t="shared" si="24"/>
        <v>-84728</v>
      </c>
      <c r="J48" s="13">
        <f t="shared" si="24"/>
        <v>-82760</v>
      </c>
      <c r="K48" s="13">
        <f>SUM(K49:K51)</f>
        <v>-85202</v>
      </c>
      <c r="L48" s="15">
        <f>SUM(L49:L51)</f>
        <v>-99488</v>
      </c>
    </row>
    <row r="49" spans="1:12">
      <c r="A49" s="17" t="s">
        <v>18</v>
      </c>
      <c r="B49" s="37"/>
      <c r="C49" s="3"/>
      <c r="D49" s="3"/>
      <c r="E49" s="3"/>
      <c r="F49" s="3"/>
      <c r="G49" s="3">
        <f>-54186-8530</f>
        <v>-62716</v>
      </c>
      <c r="H49" s="3">
        <f>-61630-8353</f>
        <v>-69983</v>
      </c>
      <c r="I49" s="3">
        <f>-57594-8120</f>
        <v>-65714</v>
      </c>
      <c r="J49" s="3">
        <v>-60128</v>
      </c>
      <c r="K49" s="3">
        <v>-62957</v>
      </c>
      <c r="L49" s="14">
        <v>-70796</v>
      </c>
    </row>
    <row r="50" spans="1:12">
      <c r="A50" s="17" t="s">
        <v>19</v>
      </c>
      <c r="B50" s="35"/>
      <c r="C50" s="13"/>
      <c r="D50" s="13"/>
      <c r="E50" s="13"/>
      <c r="F50" s="13"/>
      <c r="G50" s="13">
        <f>-3266</f>
        <v>-3266</v>
      </c>
      <c r="H50" s="13">
        <f>-9453</f>
        <v>-9453</v>
      </c>
      <c r="I50" s="13">
        <v>-15106</v>
      </c>
      <c r="J50" s="13">
        <f>-19757</f>
        <v>-19757</v>
      </c>
      <c r="K50" s="13">
        <v>-19317</v>
      </c>
      <c r="L50" s="85">
        <v>-24952</v>
      </c>
    </row>
    <row r="51" spans="1:12">
      <c r="A51" s="17" t="s">
        <v>20</v>
      </c>
      <c r="B51" s="36"/>
      <c r="C51" s="2"/>
      <c r="D51" s="2"/>
      <c r="E51" s="2"/>
      <c r="F51" s="2"/>
      <c r="G51" s="2">
        <f>-69812-G50-G49</f>
        <v>-3830</v>
      </c>
      <c r="H51" s="2">
        <f>-83425-H50-H49</f>
        <v>-3989</v>
      </c>
      <c r="I51" s="2">
        <f>-84728-I50-I49</f>
        <v>-3908</v>
      </c>
      <c r="J51" s="2">
        <f>-82760-J50-J49</f>
        <v>-2875</v>
      </c>
      <c r="K51" s="2">
        <f>-85202-K50-K49</f>
        <v>-2928</v>
      </c>
      <c r="L51" s="15">
        <v>-3740</v>
      </c>
    </row>
    <row r="52" spans="1:12">
      <c r="A52" s="12"/>
      <c r="B52" s="35"/>
      <c r="C52" s="13"/>
      <c r="D52" s="13"/>
      <c r="E52" s="13"/>
      <c r="F52" s="13"/>
      <c r="G52" s="13"/>
      <c r="H52" s="13"/>
      <c r="I52" s="13"/>
      <c r="J52" s="13"/>
      <c r="K52" s="13"/>
      <c r="L52" s="23"/>
    </row>
    <row r="53" spans="1:12">
      <c r="A53" s="19" t="s">
        <v>22</v>
      </c>
      <c r="B53" s="35">
        <v>-15135</v>
      </c>
      <c r="C53" s="13">
        <v>-17390</v>
      </c>
      <c r="D53" s="13">
        <f>-20380</f>
        <v>-20380</v>
      </c>
      <c r="E53" s="13">
        <f>-20169-4230</f>
        <v>-24399</v>
      </c>
      <c r="F53" s="13">
        <f>-23599-5062</f>
        <v>-28661</v>
      </c>
      <c r="G53" s="13">
        <f>-31324</f>
        <v>-31324</v>
      </c>
      <c r="H53" s="13">
        <f>-32316</f>
        <v>-32316</v>
      </c>
      <c r="I53" s="13">
        <v>-32523</v>
      </c>
      <c r="J53" s="13">
        <v>-36833</v>
      </c>
      <c r="K53" s="13">
        <v>-32655</v>
      </c>
      <c r="L53" s="14">
        <v>-36658</v>
      </c>
    </row>
    <row r="54" spans="1:12">
      <c r="A54" s="17" t="s">
        <v>23</v>
      </c>
      <c r="B54" s="35">
        <v>0</v>
      </c>
      <c r="C54" s="13">
        <v>0</v>
      </c>
      <c r="D54" s="13">
        <v>3685</v>
      </c>
      <c r="E54" s="13">
        <v>4230</v>
      </c>
      <c r="F54" s="13">
        <v>5062</v>
      </c>
      <c r="G54" s="13">
        <v>5702</v>
      </c>
      <c r="H54" s="13">
        <v>6404</v>
      </c>
      <c r="I54" s="13">
        <v>3266</v>
      </c>
      <c r="J54" s="13">
        <v>3655</v>
      </c>
      <c r="K54" s="13">
        <v>3201</v>
      </c>
      <c r="L54" s="14">
        <v>3386</v>
      </c>
    </row>
    <row r="55" spans="1:12">
      <c r="A55" s="19" t="s">
        <v>27</v>
      </c>
      <c r="B55" s="35">
        <f>-5894</f>
        <v>-5894</v>
      </c>
      <c r="C55" s="13">
        <f>-5660</f>
        <v>-5660</v>
      </c>
      <c r="D55" s="13">
        <v>-8903</v>
      </c>
      <c r="E55" s="13">
        <f>-11866</f>
        <v>-11866</v>
      </c>
      <c r="F55" s="13">
        <v>-18264</v>
      </c>
      <c r="G55" s="13">
        <f>-14702</f>
        <v>-14702</v>
      </c>
      <c r="H55" s="13">
        <f>-12934</f>
        <v>-12934</v>
      </c>
      <c r="I55" s="13">
        <v>-16531</v>
      </c>
      <c r="J55" s="13">
        <v>-20900</v>
      </c>
      <c r="K55" s="13">
        <v>-16182</v>
      </c>
      <c r="L55" s="14">
        <v>-15720</v>
      </c>
    </row>
    <row r="56" spans="1:12">
      <c r="A56" s="12" t="s">
        <v>28</v>
      </c>
      <c r="B56" s="35">
        <f>-8584-B55</f>
        <v>-2690</v>
      </c>
      <c r="C56" s="13">
        <f>-8148-C55</f>
        <v>-2488</v>
      </c>
      <c r="D56" s="13">
        <f>-12070-D55</f>
        <v>-3167</v>
      </c>
      <c r="E56" s="13">
        <f>-15253-E55</f>
        <v>-3387</v>
      </c>
      <c r="F56" s="13">
        <f>-23123-F55</f>
        <v>-4859</v>
      </c>
      <c r="G56" s="13">
        <f>-19177-G55</f>
        <v>-4475</v>
      </c>
      <c r="H56" s="13">
        <f>-15771-H55</f>
        <v>-2837</v>
      </c>
      <c r="I56" s="13">
        <f>-18663-I55</f>
        <v>-2132</v>
      </c>
      <c r="J56" s="13">
        <f>-23570-J55</f>
        <v>-2670</v>
      </c>
      <c r="K56" s="13">
        <f>-18228-K55</f>
        <v>-2046</v>
      </c>
      <c r="L56" s="14">
        <f>-18214-L55</f>
        <v>-2494</v>
      </c>
    </row>
    <row r="57" spans="1:12">
      <c r="A57" s="12" t="s">
        <v>29</v>
      </c>
      <c r="B57" s="36">
        <v>-989</v>
      </c>
      <c r="C57" s="2">
        <v>-652</v>
      </c>
      <c r="D57" s="2">
        <v>-788</v>
      </c>
      <c r="E57" s="2">
        <v>-640</v>
      </c>
      <c r="F57" s="2">
        <v>-1011</v>
      </c>
      <c r="G57" s="2">
        <v>-1557</v>
      </c>
      <c r="H57" s="2">
        <v>-3766</v>
      </c>
      <c r="I57" s="2">
        <v>-1170</v>
      </c>
      <c r="J57" s="2">
        <v>-1669</v>
      </c>
      <c r="K57" s="2">
        <v>-553</v>
      </c>
      <c r="L57" s="15">
        <f>278+153</f>
        <v>431</v>
      </c>
    </row>
    <row r="58" spans="1:12">
      <c r="A58" s="16" t="s">
        <v>30</v>
      </c>
      <c r="B58" s="35">
        <f>SUM(B53:B57)+SUM(B46:B48)</f>
        <v>5195</v>
      </c>
      <c r="C58" s="13">
        <f t="shared" ref="C58:L58" si="25">SUM(C53:C57)+SUM(C46:C48)</f>
        <v>16476</v>
      </c>
      <c r="D58" s="13">
        <f t="shared" si="25"/>
        <v>26686</v>
      </c>
      <c r="E58" s="13">
        <f t="shared" si="25"/>
        <v>33183</v>
      </c>
      <c r="F58" s="13">
        <f t="shared" si="25"/>
        <v>21543</v>
      </c>
      <c r="G58" s="13">
        <f t="shared" si="25"/>
        <v>23586</v>
      </c>
      <c r="H58" s="13">
        <f t="shared" si="25"/>
        <v>23261</v>
      </c>
      <c r="I58" s="13">
        <f t="shared" si="25"/>
        <v>32811</v>
      </c>
      <c r="J58" s="13">
        <f t="shared" si="25"/>
        <v>37531</v>
      </c>
      <c r="K58" s="13">
        <f t="shared" si="25"/>
        <v>45359</v>
      </c>
      <c r="L58" s="14">
        <f t="shared" si="25"/>
        <v>31499</v>
      </c>
    </row>
    <row r="59" spans="1:12">
      <c r="A59" s="12" t="s">
        <v>31</v>
      </c>
      <c r="B59" s="35">
        <v>-4918</v>
      </c>
      <c r="C59" s="13">
        <v>-5726</v>
      </c>
      <c r="D59" s="13">
        <v>-7219</v>
      </c>
      <c r="E59" s="13">
        <v>-8810</v>
      </c>
      <c r="F59" s="13">
        <v>-9968</v>
      </c>
      <c r="G59" s="13">
        <f>-11937</f>
        <v>-11937</v>
      </c>
      <c r="H59" s="13">
        <v>-14115</v>
      </c>
      <c r="I59" s="13">
        <v>-16633</v>
      </c>
      <c r="J59" s="13">
        <v>-20300</v>
      </c>
      <c r="K59" s="13">
        <v>-23132</v>
      </c>
      <c r="L59" s="14">
        <v>-29756</v>
      </c>
    </row>
    <row r="60" spans="1:12">
      <c r="A60" s="12" t="s">
        <v>32</v>
      </c>
      <c r="B60" s="36">
        <f>-2392-9514</f>
        <v>-11906</v>
      </c>
      <c r="C60" s="2">
        <f>-5945+2284</f>
        <v>-3661</v>
      </c>
      <c r="D60" s="2">
        <f>-1816-1261</f>
        <v>-3077</v>
      </c>
      <c r="E60" s="2">
        <f>-2388+334</f>
        <v>-2054</v>
      </c>
      <c r="F60" s="2">
        <f>-1655-5942</f>
        <v>-7597</v>
      </c>
      <c r="G60" s="2">
        <f>-620+2149</f>
        <v>1529</v>
      </c>
      <c r="H60" s="2">
        <f>630+1310</f>
        <v>1940</v>
      </c>
      <c r="I60" s="2">
        <f>-1452+997</f>
        <v>-455</v>
      </c>
      <c r="J60" s="2">
        <f>-3342+1611</f>
        <v>-1731</v>
      </c>
      <c r="K60" s="2">
        <f>-1898+123</f>
        <v>-1775</v>
      </c>
      <c r="L60" s="15">
        <v>-3409</v>
      </c>
    </row>
    <row r="61" spans="1:12">
      <c r="A61" s="16" t="s">
        <v>33</v>
      </c>
      <c r="B61" s="35">
        <f>SUM(B58:B60)</f>
        <v>-11629</v>
      </c>
      <c r="C61" s="13">
        <f t="shared" ref="C61:L61" si="26">SUM(C58:C60)</f>
        <v>7089</v>
      </c>
      <c r="D61" s="13">
        <f t="shared" si="26"/>
        <v>16390</v>
      </c>
      <c r="E61" s="13">
        <f t="shared" si="26"/>
        <v>22319</v>
      </c>
      <c r="F61" s="13">
        <f t="shared" si="26"/>
        <v>3978</v>
      </c>
      <c r="G61" s="13">
        <f t="shared" si="26"/>
        <v>13178</v>
      </c>
      <c r="H61" s="13">
        <f t="shared" si="26"/>
        <v>11086</v>
      </c>
      <c r="I61" s="13">
        <f t="shared" si="26"/>
        <v>15723</v>
      </c>
      <c r="J61" s="13">
        <f t="shared" si="26"/>
        <v>15500</v>
      </c>
      <c r="K61" s="13">
        <f t="shared" si="26"/>
        <v>20452</v>
      </c>
      <c r="L61" s="14">
        <f t="shared" si="26"/>
        <v>-1666</v>
      </c>
    </row>
    <row r="62" spans="1:12">
      <c r="A62" s="12" t="s">
        <v>34</v>
      </c>
      <c r="B62" s="35">
        <v>3152</v>
      </c>
      <c r="C62" s="13">
        <v>1614</v>
      </c>
      <c r="D62" s="13">
        <v>2436</v>
      </c>
      <c r="E62" s="13">
        <v>3543</v>
      </c>
      <c r="F62" s="13">
        <v>2820</v>
      </c>
      <c r="G62" s="13">
        <v>3189</v>
      </c>
      <c r="H62" s="13">
        <v>2996</v>
      </c>
      <c r="I62" s="13">
        <f>3447</f>
        <v>3447</v>
      </c>
      <c r="J62" s="13">
        <v>5212</v>
      </c>
      <c r="K62" s="13">
        <v>2872</v>
      </c>
      <c r="L62" s="14">
        <v>2722</v>
      </c>
    </row>
    <row r="63" spans="1:12">
      <c r="A63" s="12" t="s">
        <v>35</v>
      </c>
      <c r="B63" s="35">
        <f>-4319-3436</f>
        <v>-7755</v>
      </c>
      <c r="C63" s="13">
        <f>-2851-8234</f>
        <v>-11085</v>
      </c>
      <c r="D63" s="13">
        <f>-7177-8589</f>
        <v>-15766</v>
      </c>
      <c r="E63" s="13">
        <f>-7499-4999-E64</f>
        <v>-17970</v>
      </c>
      <c r="F63" s="13">
        <f>-F65+207-F64</f>
        <v>-20766</v>
      </c>
      <c r="G63" s="13">
        <f>-20537</f>
        <v>-20537</v>
      </c>
      <c r="H63" s="13">
        <f>-26494</f>
        <v>-26494</v>
      </c>
      <c r="I63" s="13">
        <f>-30792</f>
        <v>-30792</v>
      </c>
      <c r="J63" s="13">
        <f>-37822</f>
        <v>-37822</v>
      </c>
      <c r="K63" s="13">
        <f>-41508</f>
        <v>-41508</v>
      </c>
      <c r="L63" s="14">
        <v>-45617</v>
      </c>
    </row>
    <row r="64" spans="1:12">
      <c r="A64" s="20" t="s">
        <v>43</v>
      </c>
      <c r="B64" s="35">
        <v>0</v>
      </c>
      <c r="C64" s="13">
        <v>0</v>
      </c>
      <c r="D64" s="13">
        <v>0</v>
      </c>
      <c r="E64" s="13">
        <v>5472</v>
      </c>
      <c r="F64" s="13">
        <v>17295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4">
        <v>0</v>
      </c>
    </row>
    <row r="65" spans="1:12">
      <c r="A65" s="20" t="s">
        <v>23</v>
      </c>
      <c r="B65" s="36">
        <v>3436</v>
      </c>
      <c r="C65" s="2">
        <v>8234</v>
      </c>
      <c r="D65" s="2">
        <v>8589</v>
      </c>
      <c r="E65" s="2">
        <v>4999</v>
      </c>
      <c r="F65" s="2">
        <v>3678</v>
      </c>
      <c r="G65" s="2">
        <v>13290</v>
      </c>
      <c r="H65" s="2">
        <v>17389</v>
      </c>
      <c r="I65" s="2">
        <v>19426</v>
      </c>
      <c r="J65" s="2">
        <f>18233</f>
        <v>18233</v>
      </c>
      <c r="K65" s="2">
        <v>15547</v>
      </c>
      <c r="L65" s="15">
        <v>15378</v>
      </c>
    </row>
    <row r="66" spans="1:12">
      <c r="A66" s="16" t="s">
        <v>36</v>
      </c>
      <c r="B66" s="35">
        <f>SUM(B61:B65)</f>
        <v>-12796</v>
      </c>
      <c r="C66" s="13">
        <f t="shared" ref="C66:L66" si="27">SUM(C61:C65)</f>
        <v>5852</v>
      </c>
      <c r="D66" s="13">
        <f t="shared" si="27"/>
        <v>11649</v>
      </c>
      <c r="E66" s="13">
        <f t="shared" si="27"/>
        <v>18363</v>
      </c>
      <c r="F66" s="13">
        <f t="shared" si="27"/>
        <v>7005</v>
      </c>
      <c r="G66" s="13">
        <f t="shared" si="27"/>
        <v>9120</v>
      </c>
      <c r="H66" s="13">
        <f t="shared" si="27"/>
        <v>4977</v>
      </c>
      <c r="I66" s="13">
        <f t="shared" si="27"/>
        <v>7804</v>
      </c>
      <c r="J66" s="13">
        <f t="shared" si="27"/>
        <v>1123</v>
      </c>
      <c r="K66" s="13">
        <f t="shared" si="27"/>
        <v>-2637</v>
      </c>
      <c r="L66" s="14">
        <f t="shared" si="27"/>
        <v>-29183</v>
      </c>
    </row>
    <row r="67" spans="1:12">
      <c r="A67" s="12" t="s">
        <v>37</v>
      </c>
      <c r="B67" s="35">
        <v>-208</v>
      </c>
      <c r="C67" s="13">
        <v>-262</v>
      </c>
      <c r="D67" s="13">
        <v>-124</v>
      </c>
      <c r="E67" s="13">
        <v>-179</v>
      </c>
      <c r="F67" s="13">
        <v>-201</v>
      </c>
      <c r="G67" s="13">
        <v>-193</v>
      </c>
      <c r="H67" s="13">
        <v>-129</v>
      </c>
      <c r="I67" s="13">
        <v>-542</v>
      </c>
      <c r="J67" s="13">
        <v>-1091</v>
      </c>
      <c r="K67" s="13">
        <v>-664</v>
      </c>
      <c r="L67" s="14">
        <v>-412</v>
      </c>
    </row>
    <row r="68" spans="1:12">
      <c r="A68" s="12" t="s">
        <v>38</v>
      </c>
      <c r="B68" s="35">
        <v>3994</v>
      </c>
      <c r="C68" s="13">
        <v>-1816</v>
      </c>
      <c r="D68" s="13">
        <v>-3137</v>
      </c>
      <c r="E68" s="13">
        <v>-4977</v>
      </c>
      <c r="F68" s="13">
        <f>-1656</f>
        <v>-1656</v>
      </c>
      <c r="G68" s="13">
        <v>-1944</v>
      </c>
      <c r="H68" s="13">
        <v>-1237</v>
      </c>
      <c r="I68" s="13">
        <v>-2154</v>
      </c>
      <c r="J68" s="13">
        <v>820</v>
      </c>
      <c r="K68" s="13">
        <v>930</v>
      </c>
      <c r="L68" s="14">
        <v>8831</v>
      </c>
    </row>
    <row r="69" spans="1:12">
      <c r="A69" s="12" t="s">
        <v>40</v>
      </c>
      <c r="B69" s="35">
        <v>37</v>
      </c>
      <c r="C69" s="13">
        <v>14</v>
      </c>
      <c r="D69" s="13">
        <v>24</v>
      </c>
      <c r="E69" s="13">
        <v>41</v>
      </c>
      <c r="F69" s="13">
        <v>35</v>
      </c>
      <c r="G69" s="13">
        <v>43</v>
      </c>
      <c r="H69" s="13">
        <v>49</v>
      </c>
      <c r="I69" s="13">
        <v>43</v>
      </c>
      <c r="J69" s="13">
        <v>35</v>
      </c>
      <c r="K69" s="13">
        <v>34</v>
      </c>
      <c r="L69" s="14">
        <v>35</v>
      </c>
    </row>
    <row r="70" spans="1:12" ht="15" thickBot="1">
      <c r="A70" s="16" t="s">
        <v>39</v>
      </c>
      <c r="B70" s="38">
        <f t="shared" ref="B70:J70" si="28">SUM(B66:B69)</f>
        <v>-8973</v>
      </c>
      <c r="C70" s="4">
        <f t="shared" si="28"/>
        <v>3788</v>
      </c>
      <c r="D70" s="4">
        <f t="shared" si="28"/>
        <v>8412</v>
      </c>
      <c r="E70" s="4">
        <f t="shared" si="28"/>
        <v>13248</v>
      </c>
      <c r="F70" s="4">
        <f t="shared" si="28"/>
        <v>5183</v>
      </c>
      <c r="G70" s="4">
        <f t="shared" si="28"/>
        <v>7026</v>
      </c>
      <c r="H70" s="4">
        <f t="shared" si="28"/>
        <v>3660</v>
      </c>
      <c r="I70" s="4">
        <f t="shared" si="28"/>
        <v>5151</v>
      </c>
      <c r="J70" s="4">
        <f t="shared" si="28"/>
        <v>887</v>
      </c>
      <c r="K70" s="4">
        <f>SUM(K66:K69)</f>
        <v>-2337</v>
      </c>
      <c r="L70" s="21">
        <f>SUM(L66:L69)</f>
        <v>-20729</v>
      </c>
    </row>
    <row r="71" spans="1:12">
      <c r="A71" s="12"/>
      <c r="B71" s="12"/>
      <c r="C71" s="22"/>
      <c r="D71" s="22"/>
      <c r="E71" s="22"/>
      <c r="F71" s="22"/>
      <c r="G71" s="22"/>
      <c r="H71" s="22"/>
      <c r="I71" s="22"/>
      <c r="J71" s="22"/>
      <c r="K71" s="22"/>
      <c r="L71" s="14"/>
    </row>
    <row r="72" spans="1:12">
      <c r="A72" s="12" t="s">
        <v>42</v>
      </c>
      <c r="B72" s="35">
        <f t="shared" ref="B72:J72" si="29">B58</f>
        <v>5195</v>
      </c>
      <c r="C72" s="13">
        <f t="shared" si="29"/>
        <v>16476</v>
      </c>
      <c r="D72" s="13">
        <f t="shared" si="29"/>
        <v>26686</v>
      </c>
      <c r="E72" s="13">
        <f t="shared" si="29"/>
        <v>33183</v>
      </c>
      <c r="F72" s="13">
        <f t="shared" si="29"/>
        <v>21543</v>
      </c>
      <c r="G72" s="13">
        <f t="shared" si="29"/>
        <v>23586</v>
      </c>
      <c r="H72" s="13">
        <f t="shared" si="29"/>
        <v>23261</v>
      </c>
      <c r="I72" s="13">
        <f t="shared" si="29"/>
        <v>32811</v>
      </c>
      <c r="J72" s="13">
        <f t="shared" si="29"/>
        <v>37531</v>
      </c>
      <c r="K72" s="13">
        <f>K58</f>
        <v>45359</v>
      </c>
      <c r="L72" s="14">
        <f>L58</f>
        <v>31499</v>
      </c>
    </row>
    <row r="73" spans="1:12">
      <c r="A73" s="12" t="s">
        <v>59</v>
      </c>
      <c r="B73" s="35">
        <f t="shared" ref="B73:J73" si="30">-B54</f>
        <v>0</v>
      </c>
      <c r="C73" s="13">
        <f t="shared" si="30"/>
        <v>0</v>
      </c>
      <c r="D73" s="13">
        <f t="shared" si="30"/>
        <v>-3685</v>
      </c>
      <c r="E73" s="13">
        <f t="shared" si="30"/>
        <v>-4230</v>
      </c>
      <c r="F73" s="13">
        <f t="shared" si="30"/>
        <v>-5062</v>
      </c>
      <c r="G73" s="13">
        <f t="shared" si="30"/>
        <v>-5702</v>
      </c>
      <c r="H73" s="13">
        <f t="shared" si="30"/>
        <v>-6404</v>
      </c>
      <c r="I73" s="13">
        <f t="shared" si="30"/>
        <v>-3266</v>
      </c>
      <c r="J73" s="13">
        <f t="shared" si="30"/>
        <v>-3655</v>
      </c>
      <c r="K73" s="13">
        <f>-K54</f>
        <v>-3201</v>
      </c>
      <c r="L73" s="14">
        <f>-L54</f>
        <v>-3386</v>
      </c>
    </row>
    <row r="74" spans="1:12">
      <c r="A74" s="12" t="s">
        <v>29</v>
      </c>
      <c r="B74" s="35">
        <f t="shared" ref="B74:J74" si="31">-B57</f>
        <v>989</v>
      </c>
      <c r="C74" s="13">
        <f t="shared" si="31"/>
        <v>652</v>
      </c>
      <c r="D74" s="13">
        <f t="shared" si="31"/>
        <v>788</v>
      </c>
      <c r="E74" s="13">
        <f t="shared" si="31"/>
        <v>640</v>
      </c>
      <c r="F74" s="13">
        <f t="shared" si="31"/>
        <v>1011</v>
      </c>
      <c r="G74" s="13">
        <f t="shared" si="31"/>
        <v>1557</v>
      </c>
      <c r="H74" s="13">
        <f t="shared" si="31"/>
        <v>3766</v>
      </c>
      <c r="I74" s="13">
        <f t="shared" si="31"/>
        <v>1170</v>
      </c>
      <c r="J74" s="13">
        <f t="shared" si="31"/>
        <v>1669</v>
      </c>
      <c r="K74" s="13">
        <f>-K57</f>
        <v>553</v>
      </c>
      <c r="L74" s="14">
        <f>-L57</f>
        <v>-431</v>
      </c>
    </row>
    <row r="75" spans="1:12" ht="15" thickBot="1">
      <c r="A75" s="16" t="s">
        <v>50</v>
      </c>
      <c r="B75" s="38">
        <f t="shared" ref="B75:K75" si="32">SUM(B72:B74)</f>
        <v>6184</v>
      </c>
      <c r="C75" s="4">
        <f t="shared" si="32"/>
        <v>17128</v>
      </c>
      <c r="D75" s="4">
        <f t="shared" si="32"/>
        <v>23789</v>
      </c>
      <c r="E75" s="4">
        <f t="shared" si="32"/>
        <v>29593</v>
      </c>
      <c r="F75" s="4">
        <f t="shared" si="32"/>
        <v>17492</v>
      </c>
      <c r="G75" s="4">
        <f t="shared" si="32"/>
        <v>19441</v>
      </c>
      <c r="H75" s="4">
        <f t="shared" si="32"/>
        <v>20623</v>
      </c>
      <c r="I75" s="4">
        <f t="shared" si="32"/>
        <v>30715</v>
      </c>
      <c r="J75" s="4">
        <f t="shared" si="32"/>
        <v>35545</v>
      </c>
      <c r="K75" s="4">
        <f t="shared" si="32"/>
        <v>42711</v>
      </c>
      <c r="L75" s="21">
        <f t="shared" ref="L75" si="33">SUM(L72:L74)</f>
        <v>27682</v>
      </c>
    </row>
    <row r="76" spans="1:12">
      <c r="A76" s="12"/>
      <c r="B76" s="12"/>
      <c r="C76" s="22"/>
      <c r="D76" s="22"/>
      <c r="E76" s="22"/>
      <c r="F76" s="22"/>
      <c r="G76" s="22"/>
      <c r="H76" s="22"/>
      <c r="I76" s="22"/>
      <c r="J76" s="22"/>
      <c r="K76" s="22"/>
      <c r="L76" s="23"/>
    </row>
    <row r="77" spans="1:12">
      <c r="A77" s="12" t="s">
        <v>51</v>
      </c>
      <c r="B77" s="39">
        <f t="shared" ref="B77:K77" si="34">B75/B46</f>
        <v>0.11414437861084963</v>
      </c>
      <c r="C77" s="24">
        <f t="shared" si="34"/>
        <v>0.24053139350363015</v>
      </c>
      <c r="D77" s="24">
        <f t="shared" si="34"/>
        <v>0.26013975308101961</v>
      </c>
      <c r="E77" s="24">
        <f t="shared" si="34"/>
        <v>0.25767325223993659</v>
      </c>
      <c r="F77" s="24">
        <f t="shared" si="34"/>
        <v>0.13573473837773242</v>
      </c>
      <c r="G77" s="24">
        <f t="shared" si="34"/>
        <v>0.14055800973155091</v>
      </c>
      <c r="H77" s="24">
        <f t="shared" si="34"/>
        <v>0.13963613219492046</v>
      </c>
      <c r="I77" s="24">
        <f t="shared" si="34"/>
        <v>0.18701404660281662</v>
      </c>
      <c r="J77" s="24">
        <f t="shared" si="34"/>
        <v>0.20066502574293199</v>
      </c>
      <c r="K77" s="24">
        <f t="shared" si="34"/>
        <v>0.24072842456488411</v>
      </c>
      <c r="L77" s="25">
        <f t="shared" ref="L77" si="35">L75/L46</f>
        <v>0.15388121761946055</v>
      </c>
    </row>
    <row r="78" spans="1:12">
      <c r="A78" s="40"/>
      <c r="B78" s="40"/>
      <c r="C78" s="42"/>
      <c r="D78" s="42"/>
      <c r="E78" s="42"/>
      <c r="F78" s="42"/>
      <c r="G78" s="42"/>
      <c r="H78" s="42"/>
      <c r="I78" s="42"/>
      <c r="J78" s="42"/>
      <c r="K78" s="42"/>
      <c r="L78" s="46"/>
    </row>
    <row r="79" spans="1:12">
      <c r="A79" s="26" t="s">
        <v>52</v>
      </c>
      <c r="B79" s="40"/>
      <c r="C79" s="43"/>
      <c r="D79" s="43"/>
      <c r="E79" s="43"/>
      <c r="F79" s="43"/>
      <c r="G79" s="43"/>
      <c r="H79" s="43"/>
      <c r="I79" s="43"/>
      <c r="J79" s="43"/>
      <c r="K79" s="43"/>
      <c r="L79" s="45"/>
    </row>
    <row r="80" spans="1:12">
      <c r="A80" s="12" t="s">
        <v>53</v>
      </c>
      <c r="B80" s="40"/>
      <c r="C80" s="13">
        <f t="shared" ref="C80:L80" si="36">(C4-B4)*B5*(1-B12)</f>
        <v>489.49030486385846</v>
      </c>
      <c r="D80" s="13">
        <f t="shared" si="36"/>
        <v>1091.0676560334139</v>
      </c>
      <c r="E80" s="13">
        <f t="shared" si="36"/>
        <v>82.436844497117349</v>
      </c>
      <c r="F80" s="13">
        <f t="shared" si="36"/>
        <v>-2439.7421536134525</v>
      </c>
      <c r="G80" s="13">
        <f t="shared" si="36"/>
        <v>408.46657523746194</v>
      </c>
      <c r="H80" s="13">
        <f t="shared" si="36"/>
        <v>-501.30495220350338</v>
      </c>
      <c r="I80" s="13">
        <f t="shared" si="36"/>
        <v>-519.25076985675582</v>
      </c>
      <c r="J80" s="13">
        <f t="shared" si="36"/>
        <v>-131.32432268622338</v>
      </c>
      <c r="K80" s="13">
        <f t="shared" si="36"/>
        <v>-832.69251497984783</v>
      </c>
      <c r="L80" s="14">
        <f t="shared" si="36"/>
        <v>-1638.9404260332719</v>
      </c>
    </row>
    <row r="81" spans="1:12">
      <c r="A81" s="12" t="s">
        <v>54</v>
      </c>
      <c r="B81" s="40"/>
      <c r="C81" s="13">
        <f t="shared" ref="C81:L81" si="37">(C5-B5)*C4*(1-B12)</f>
        <v>8442.3131520008064</v>
      </c>
      <c r="D81" s="13">
        <f t="shared" si="37"/>
        <v>10890.446992991421</v>
      </c>
      <c r="E81" s="13">
        <f t="shared" si="37"/>
        <v>13580.831979845891</v>
      </c>
      <c r="F81" s="13">
        <f t="shared" si="37"/>
        <v>10503.387318614914</v>
      </c>
      <c r="G81" s="13">
        <f t="shared" si="37"/>
        <v>4902.7015638402536</v>
      </c>
      <c r="H81" s="13">
        <f t="shared" si="37"/>
        <v>5106.2099562584772</v>
      </c>
      <c r="I81" s="13">
        <f t="shared" si="37"/>
        <v>7144.3434763954319</v>
      </c>
      <c r="J81" s="13">
        <f t="shared" si="37"/>
        <v>6512.2911229435103</v>
      </c>
      <c r="K81" s="13">
        <f t="shared" si="37"/>
        <v>804.74351615635715</v>
      </c>
      <c r="L81" s="14">
        <f t="shared" si="37"/>
        <v>2804.5208843259084</v>
      </c>
    </row>
    <row r="82" spans="1:12">
      <c r="A82" s="12" t="s">
        <v>55</v>
      </c>
      <c r="B82" s="40"/>
      <c r="C82" s="13">
        <f t="shared" ref="C82:L82" si="38">C45-B45</f>
        <v>194</v>
      </c>
      <c r="D82" s="13">
        <f t="shared" si="38"/>
        <v>-303</v>
      </c>
      <c r="E82" s="13">
        <f t="shared" si="38"/>
        <v>776</v>
      </c>
      <c r="F82" s="13">
        <f t="shared" si="38"/>
        <v>358</v>
      </c>
      <c r="G82" s="13">
        <f t="shared" si="38"/>
        <v>-762</v>
      </c>
      <c r="H82" s="13">
        <f t="shared" si="38"/>
        <v>-21</v>
      </c>
      <c r="I82" s="13">
        <f t="shared" si="38"/>
        <v>1128</v>
      </c>
      <c r="J82" s="13">
        <f t="shared" si="38"/>
        <v>-509</v>
      </c>
      <c r="K82" s="13">
        <f t="shared" si="38"/>
        <v>341</v>
      </c>
      <c r="L82" s="14">
        <f t="shared" si="38"/>
        <v>197</v>
      </c>
    </row>
    <row r="83" spans="1:12">
      <c r="A83" s="12" t="s">
        <v>56</v>
      </c>
      <c r="B83" s="40"/>
      <c r="C83" s="13">
        <f t="shared" ref="C83:L83" si="39">C44*((1-C12)-(1-B12))</f>
        <v>3690.1965431353337</v>
      </c>
      <c r="D83" s="13">
        <f t="shared" si="39"/>
        <v>1864.4853509751692</v>
      </c>
      <c r="E83" s="13">
        <f t="shared" si="39"/>
        <v>-1558.2688243430143</v>
      </c>
      <c r="F83" s="13">
        <f t="shared" si="39"/>
        <v>-8833.6451650014569</v>
      </c>
      <c r="G83" s="13">
        <f t="shared" si="39"/>
        <v>-4169.1681390777148</v>
      </c>
      <c r="H83" s="13">
        <f t="shared" si="39"/>
        <v>-8818.9050040549755</v>
      </c>
      <c r="I83" s="13">
        <f t="shared" si="39"/>
        <v>7491.9072934613232</v>
      </c>
      <c r="J83" s="13">
        <f t="shared" si="39"/>
        <v>8993.0331997427129</v>
      </c>
      <c r="K83" s="13">
        <f t="shared" si="39"/>
        <v>-2467.0510011765123</v>
      </c>
      <c r="L83" s="14">
        <f t="shared" si="39"/>
        <v>-13180.580458292621</v>
      </c>
    </row>
    <row r="84" spans="1:12">
      <c r="A84" s="12" t="s">
        <v>57</v>
      </c>
      <c r="B84" s="40"/>
      <c r="C84" s="13">
        <f t="shared" ref="C84:L84" si="40">C47-B47</f>
        <v>-53</v>
      </c>
      <c r="D84" s="13">
        <f t="shared" si="40"/>
        <v>30</v>
      </c>
      <c r="E84" s="13">
        <f t="shared" si="40"/>
        <v>125</v>
      </c>
      <c r="F84" s="13">
        <f t="shared" si="40"/>
        <v>443</v>
      </c>
      <c r="G84" s="13">
        <f t="shared" si="40"/>
        <v>286</v>
      </c>
      <c r="H84" s="13">
        <f t="shared" si="40"/>
        <v>3003</v>
      </c>
      <c r="I84" s="13">
        <f t="shared" si="40"/>
        <v>-2054</v>
      </c>
      <c r="J84" s="13">
        <f t="shared" si="40"/>
        <v>-818</v>
      </c>
      <c r="K84" s="13">
        <f t="shared" si="40"/>
        <v>-200</v>
      </c>
      <c r="L84" s="14">
        <f t="shared" si="40"/>
        <v>778</v>
      </c>
    </row>
    <row r="85" spans="1:12">
      <c r="A85" s="12" t="s">
        <v>58</v>
      </c>
      <c r="B85" s="40"/>
      <c r="C85" s="13">
        <f t="shared" ref="C85:L85" si="41">C53-B53</f>
        <v>-2255</v>
      </c>
      <c r="D85" s="13">
        <f t="shared" si="41"/>
        <v>-2990</v>
      </c>
      <c r="E85" s="13">
        <f t="shared" si="41"/>
        <v>-4019</v>
      </c>
      <c r="F85" s="13">
        <f t="shared" si="41"/>
        <v>-4262</v>
      </c>
      <c r="G85" s="13">
        <f t="shared" si="41"/>
        <v>-2663</v>
      </c>
      <c r="H85" s="13">
        <f t="shared" si="41"/>
        <v>-992</v>
      </c>
      <c r="I85" s="13">
        <f t="shared" si="41"/>
        <v>-207</v>
      </c>
      <c r="J85" s="13">
        <f t="shared" si="41"/>
        <v>-4310</v>
      </c>
      <c r="K85" s="13">
        <f t="shared" si="41"/>
        <v>4178</v>
      </c>
      <c r="L85" s="14">
        <f t="shared" si="41"/>
        <v>-4003</v>
      </c>
    </row>
    <row r="86" spans="1:12">
      <c r="A86" s="12" t="s">
        <v>60</v>
      </c>
      <c r="B86" s="40"/>
      <c r="C86" s="13">
        <f t="shared" ref="C86:L86" si="42">C55-B55</f>
        <v>234</v>
      </c>
      <c r="D86" s="13">
        <f t="shared" si="42"/>
        <v>-3243</v>
      </c>
      <c r="E86" s="13">
        <f t="shared" si="42"/>
        <v>-2963</v>
      </c>
      <c r="F86" s="13">
        <f t="shared" si="42"/>
        <v>-6398</v>
      </c>
      <c r="G86" s="13">
        <f t="shared" si="42"/>
        <v>3562</v>
      </c>
      <c r="H86" s="13">
        <f t="shared" si="42"/>
        <v>1768</v>
      </c>
      <c r="I86" s="13">
        <f t="shared" si="42"/>
        <v>-3597</v>
      </c>
      <c r="J86" s="13">
        <f t="shared" si="42"/>
        <v>-4369</v>
      </c>
      <c r="K86" s="13">
        <f t="shared" si="42"/>
        <v>4718</v>
      </c>
      <c r="L86" s="14">
        <f t="shared" si="42"/>
        <v>462</v>
      </c>
    </row>
    <row r="87" spans="1:12">
      <c r="A87" s="12" t="s">
        <v>61</v>
      </c>
      <c r="B87" s="40"/>
      <c r="C87" s="13">
        <f t="shared" ref="C87:L87" si="43">C56-B56</f>
        <v>202</v>
      </c>
      <c r="D87" s="13">
        <f t="shared" si="43"/>
        <v>-679</v>
      </c>
      <c r="E87" s="13">
        <f t="shared" si="43"/>
        <v>-220</v>
      </c>
      <c r="F87" s="13">
        <f t="shared" si="43"/>
        <v>-1472</v>
      </c>
      <c r="G87" s="13">
        <f t="shared" si="43"/>
        <v>384</v>
      </c>
      <c r="H87" s="13">
        <f t="shared" si="43"/>
        <v>1638</v>
      </c>
      <c r="I87" s="13">
        <f t="shared" si="43"/>
        <v>705</v>
      </c>
      <c r="J87" s="13">
        <f t="shared" si="43"/>
        <v>-538</v>
      </c>
      <c r="K87" s="13">
        <f t="shared" si="43"/>
        <v>624</v>
      </c>
      <c r="L87" s="14">
        <f t="shared" si="43"/>
        <v>-448</v>
      </c>
    </row>
    <row r="88" spans="1:12" ht="15" thickBot="1">
      <c r="A88" s="12"/>
      <c r="B88" s="40"/>
      <c r="C88" s="4">
        <f>SUM(C80:C87)</f>
        <v>10944</v>
      </c>
      <c r="D88" s="4">
        <f t="shared" ref="D88:K88" si="44">SUM(D80:D87)</f>
        <v>6661.0000000000036</v>
      </c>
      <c r="E88" s="4">
        <f t="shared" si="44"/>
        <v>5803.9999999999927</v>
      </c>
      <c r="F88" s="4">
        <f t="shared" si="44"/>
        <v>-12100.999999999996</v>
      </c>
      <c r="G88" s="4">
        <f t="shared" si="44"/>
        <v>1949.0000000000009</v>
      </c>
      <c r="H88" s="4">
        <f t="shared" si="44"/>
        <v>1181.9999999999982</v>
      </c>
      <c r="I88" s="4">
        <f t="shared" si="44"/>
        <v>10092</v>
      </c>
      <c r="J88" s="4">
        <f t="shared" si="44"/>
        <v>4830</v>
      </c>
      <c r="K88" s="4">
        <f t="shared" si="44"/>
        <v>7165.9999999999973</v>
      </c>
      <c r="L88" s="21">
        <f t="shared" ref="L88" si="45">SUM(L80:L87)</f>
        <v>-15028.999999999985</v>
      </c>
    </row>
    <row r="89" spans="1:12">
      <c r="A89" s="40"/>
      <c r="B89" s="40"/>
      <c r="C89" s="42"/>
      <c r="D89" s="42"/>
      <c r="E89" s="42"/>
      <c r="F89" s="42"/>
      <c r="G89" s="42"/>
      <c r="H89" s="42"/>
      <c r="I89" s="42"/>
      <c r="J89" s="42"/>
      <c r="K89" s="42"/>
      <c r="L89" s="46"/>
    </row>
    <row r="90" spans="1:12">
      <c r="A90" s="40"/>
      <c r="B90" s="40"/>
      <c r="C90" s="43"/>
      <c r="D90" s="43"/>
      <c r="E90" s="43"/>
      <c r="F90" s="43"/>
      <c r="G90" s="42"/>
      <c r="H90" s="42"/>
      <c r="I90" s="27" t="s">
        <v>155</v>
      </c>
      <c r="J90" s="13"/>
      <c r="K90" s="24"/>
      <c r="L90" s="23"/>
    </row>
    <row r="91" spans="1:12">
      <c r="A91" s="40"/>
      <c r="B91" s="40"/>
      <c r="C91" s="42"/>
      <c r="D91" s="42"/>
      <c r="E91" s="42"/>
      <c r="F91" s="42"/>
      <c r="G91" s="42"/>
      <c r="H91" s="42"/>
      <c r="I91" s="28" t="s">
        <v>62</v>
      </c>
      <c r="J91" s="22"/>
      <c r="K91" s="24"/>
      <c r="L91" s="25">
        <f>(L4/B4)^0.1-1</f>
        <v>-3.0821954048672051E-3</v>
      </c>
    </row>
    <row r="92" spans="1:12">
      <c r="A92" s="40"/>
      <c r="B92" s="40"/>
      <c r="C92" s="42"/>
      <c r="D92" s="42"/>
      <c r="E92" s="42"/>
      <c r="F92" s="42"/>
      <c r="G92" s="42"/>
      <c r="H92" s="42"/>
      <c r="I92" s="29" t="s">
        <v>63</v>
      </c>
      <c r="J92" s="13"/>
      <c r="K92" s="24"/>
      <c r="L92" s="25">
        <f>(L5/B5)^0.1-1</f>
        <v>0.13185332577957376</v>
      </c>
    </row>
    <row r="93" spans="1:12">
      <c r="A93" s="40"/>
      <c r="B93" s="40"/>
      <c r="C93" s="42"/>
      <c r="D93" s="42"/>
      <c r="E93" s="42"/>
      <c r="F93" s="42"/>
      <c r="G93" s="42"/>
      <c r="H93" s="42"/>
      <c r="I93" s="29" t="s">
        <v>6</v>
      </c>
      <c r="J93" s="13"/>
      <c r="K93" s="24"/>
      <c r="L93" s="25">
        <f>(L44/B44)^0.1-1</f>
        <v>0.12836473265987203</v>
      </c>
    </row>
    <row r="94" spans="1:12">
      <c r="A94" s="40"/>
      <c r="B94" s="40"/>
      <c r="C94" s="42"/>
      <c r="D94" s="42"/>
      <c r="E94" s="42"/>
      <c r="F94" s="42"/>
      <c r="G94" s="42"/>
      <c r="H94" s="42"/>
      <c r="I94" s="28" t="s">
        <v>64</v>
      </c>
      <c r="J94" s="22"/>
      <c r="K94" s="24"/>
      <c r="L94" s="25">
        <f>(L48/B48)^0.1-1</f>
        <v>0.14864294842060155</v>
      </c>
    </row>
    <row r="95" spans="1:12">
      <c r="A95" s="40"/>
      <c r="B95" s="40"/>
      <c r="C95" s="42"/>
      <c r="D95" s="42"/>
      <c r="E95" s="42"/>
      <c r="F95" s="42"/>
      <c r="G95" s="42"/>
      <c r="H95" s="42"/>
      <c r="I95" s="28" t="s">
        <v>45</v>
      </c>
      <c r="J95" s="22"/>
      <c r="K95" s="24"/>
      <c r="L95" s="25">
        <f>(L53/B53)^0.1-1</f>
        <v>9.2492927527480839E-2</v>
      </c>
    </row>
    <row r="96" spans="1:12">
      <c r="A96" s="40"/>
      <c r="B96" s="40"/>
      <c r="C96" s="42"/>
      <c r="D96" s="42"/>
      <c r="E96" s="42"/>
      <c r="F96" s="42"/>
      <c r="G96" s="42"/>
      <c r="H96" s="42"/>
      <c r="I96" s="28" t="s">
        <v>47</v>
      </c>
      <c r="J96" s="22"/>
      <c r="K96" s="24"/>
      <c r="L96" s="25">
        <f>((L53+L55+L56)/(K53+K55+K56))^0.1-1</f>
        <v>7.5759857196890934E-3</v>
      </c>
    </row>
    <row r="97" spans="1:12" ht="15" thickBot="1">
      <c r="A97" s="41"/>
      <c r="B97" s="41"/>
      <c r="C97" s="44"/>
      <c r="D97" s="44"/>
      <c r="E97" s="44"/>
      <c r="F97" s="44"/>
      <c r="G97" s="44"/>
      <c r="H97" s="44"/>
      <c r="I97" s="44"/>
      <c r="J97" s="44"/>
      <c r="K97" s="44"/>
      <c r="L97" s="88"/>
    </row>
    <row r="98" spans="1:12" ht="15" thickBot="1">
      <c r="L98" s="22"/>
    </row>
    <row r="99" spans="1:12">
      <c r="A99" s="6" t="s">
        <v>65</v>
      </c>
      <c r="B99" s="33"/>
      <c r="C99" s="7"/>
      <c r="D99" s="7"/>
      <c r="E99" s="7"/>
      <c r="F99" s="7"/>
      <c r="G99" s="7"/>
      <c r="H99" s="7"/>
      <c r="I99" s="7"/>
      <c r="J99" s="7"/>
      <c r="K99" s="7"/>
      <c r="L99" s="8"/>
    </row>
    <row r="100" spans="1:12">
      <c r="A100" s="9" t="s">
        <v>4</v>
      </c>
      <c r="B100" s="34">
        <v>2009</v>
      </c>
      <c r="C100" s="10">
        <v>2010</v>
      </c>
      <c r="D100" s="10">
        <v>2011</v>
      </c>
      <c r="E100" s="10">
        <v>2012</v>
      </c>
      <c r="F100" s="10">
        <v>2013</v>
      </c>
      <c r="G100" s="10">
        <v>2014</v>
      </c>
      <c r="H100" s="10">
        <v>2015</v>
      </c>
      <c r="I100" s="10">
        <v>2016</v>
      </c>
      <c r="J100" s="10">
        <v>2017</v>
      </c>
      <c r="K100" s="10">
        <v>2018</v>
      </c>
      <c r="L100" s="11">
        <v>2019</v>
      </c>
    </row>
    <row r="101" spans="1:12">
      <c r="A101" s="26" t="s">
        <v>66</v>
      </c>
      <c r="B101" s="36">
        <f t="shared" ref="B101:J101" si="46">SUM(B102:B112)</f>
        <v>154160</v>
      </c>
      <c r="C101" s="2">
        <f t="shared" si="46"/>
        <v>203162</v>
      </c>
      <c r="D101" s="2">
        <f t="shared" si="46"/>
        <v>265183</v>
      </c>
      <c r="E101" s="2">
        <f t="shared" si="46"/>
        <v>318877</v>
      </c>
      <c r="F101" s="2">
        <f t="shared" si="46"/>
        <v>378775</v>
      </c>
      <c r="G101" s="2">
        <f t="shared" si="46"/>
        <v>439869</v>
      </c>
      <c r="H101" s="2">
        <f t="shared" si="46"/>
        <v>505198</v>
      </c>
      <c r="I101" s="2">
        <f t="shared" si="46"/>
        <v>567960</v>
      </c>
      <c r="J101" s="2">
        <f t="shared" si="46"/>
        <v>622331</v>
      </c>
      <c r="K101" s="2">
        <f>SUM(K102:K112)</f>
        <v>658068</v>
      </c>
      <c r="L101" s="15">
        <f>SUM(L102:L112)</f>
        <v>685153</v>
      </c>
    </row>
    <row r="102" spans="1:12">
      <c r="A102" s="12" t="s">
        <v>67</v>
      </c>
      <c r="B102" s="35">
        <v>138642</v>
      </c>
      <c r="C102" s="13">
        <v>187905</v>
      </c>
      <c r="D102" s="13">
        <v>236724</v>
      </c>
      <c r="E102" s="13">
        <v>290661</v>
      </c>
      <c r="F102" s="13">
        <v>341429</v>
      </c>
      <c r="G102" s="13">
        <v>401373</v>
      </c>
      <c r="H102" s="13">
        <v>455977</v>
      </c>
      <c r="I102" s="13">
        <v>520521</v>
      </c>
      <c r="J102" s="13">
        <v>588867</v>
      </c>
      <c r="K102" s="13">
        <v>630648</v>
      </c>
      <c r="L102" s="85">
        <v>651637</v>
      </c>
    </row>
    <row r="103" spans="1:12">
      <c r="A103" s="12" t="s">
        <v>68</v>
      </c>
      <c r="B103" s="35">
        <v>851</v>
      </c>
      <c r="C103" s="13">
        <v>1305</v>
      </c>
      <c r="D103" s="13">
        <v>1377</v>
      </c>
      <c r="E103" s="13">
        <v>1548</v>
      </c>
      <c r="F103" s="13">
        <v>2842</v>
      </c>
      <c r="G103" s="13">
        <v>3016</v>
      </c>
      <c r="H103" s="13">
        <v>2904</v>
      </c>
      <c r="I103" s="13">
        <v>3138</v>
      </c>
      <c r="J103" s="13">
        <v>3981</v>
      </c>
      <c r="K103" s="13">
        <v>3945</v>
      </c>
      <c r="L103" s="85">
        <v>3925</v>
      </c>
    </row>
    <row r="104" spans="1:12">
      <c r="A104" s="12" t="s">
        <v>69</v>
      </c>
      <c r="B104" s="35">
        <v>3510</v>
      </c>
      <c r="C104" s="13">
        <v>3768</v>
      </c>
      <c r="D104" s="13">
        <v>4089</v>
      </c>
      <c r="E104" s="13">
        <v>5452</v>
      </c>
      <c r="F104" s="13">
        <v>8121</v>
      </c>
      <c r="G104" s="13">
        <v>8744</v>
      </c>
      <c r="H104" s="13">
        <v>9079</v>
      </c>
      <c r="I104" s="13">
        <v>10502</v>
      </c>
      <c r="J104" s="13">
        <v>8190</v>
      </c>
      <c r="K104" s="13">
        <v>7157</v>
      </c>
      <c r="L104" s="85">
        <v>6471</v>
      </c>
    </row>
    <row r="105" spans="1:12">
      <c r="A105" s="12" t="s">
        <v>70</v>
      </c>
      <c r="B105" s="35">
        <v>182</v>
      </c>
      <c r="C105" s="13">
        <v>196</v>
      </c>
      <c r="D105" s="13">
        <v>220</v>
      </c>
      <c r="E105" s="13">
        <v>261</v>
      </c>
      <c r="F105" s="13">
        <v>296</v>
      </c>
      <c r="G105" s="13">
        <v>318</v>
      </c>
      <c r="H105" s="13">
        <v>348</v>
      </c>
      <c r="I105" s="13">
        <v>360</v>
      </c>
      <c r="J105" s="13">
        <v>364</v>
      </c>
      <c r="K105" s="13">
        <v>372</v>
      </c>
      <c r="L105" s="85">
        <v>373</v>
      </c>
    </row>
    <row r="106" spans="1:12">
      <c r="A106" s="12" t="s">
        <v>38</v>
      </c>
      <c r="B106" s="35">
        <v>56</v>
      </c>
      <c r="C106" s="13">
        <v>79</v>
      </c>
      <c r="D106" s="13">
        <v>59</v>
      </c>
      <c r="E106" s="13">
        <v>43</v>
      </c>
      <c r="F106" s="13">
        <v>25</v>
      </c>
      <c r="G106" s="13">
        <v>339</v>
      </c>
      <c r="H106" s="13">
        <v>230</v>
      </c>
      <c r="I106" s="13">
        <v>174</v>
      </c>
      <c r="J106" s="13">
        <v>50</v>
      </c>
      <c r="K106" s="13">
        <v>23</v>
      </c>
      <c r="L106" s="85">
        <v>17</v>
      </c>
    </row>
    <row r="107" spans="1:12">
      <c r="A107" s="12" t="s">
        <v>71</v>
      </c>
      <c r="B107" s="35">
        <v>0</v>
      </c>
      <c r="C107" s="13">
        <v>4110</v>
      </c>
      <c r="D107" s="13">
        <v>5958</v>
      </c>
      <c r="E107" s="13">
        <v>7435</v>
      </c>
      <c r="F107" s="13">
        <v>8425</v>
      </c>
      <c r="G107" s="13">
        <v>8654</v>
      </c>
      <c r="H107" s="13">
        <v>8646</v>
      </c>
      <c r="I107" s="13">
        <v>70</v>
      </c>
      <c r="J107" s="13">
        <v>79</v>
      </c>
      <c r="K107" s="13">
        <v>63</v>
      </c>
      <c r="L107" s="85">
        <v>40</v>
      </c>
    </row>
    <row r="108" spans="1:12">
      <c r="A108" s="12" t="s">
        <v>72</v>
      </c>
      <c r="B108" s="35">
        <f>1135+586</f>
        <v>1721</v>
      </c>
      <c r="C108" s="13">
        <v>0</v>
      </c>
      <c r="D108" s="13">
        <v>6</v>
      </c>
      <c r="E108" s="13">
        <v>1780</v>
      </c>
      <c r="F108" s="13">
        <v>5420</v>
      </c>
      <c r="G108" s="13">
        <v>9361</v>
      </c>
      <c r="H108" s="13">
        <v>19242</v>
      </c>
      <c r="I108" s="13">
        <v>27600</v>
      </c>
      <c r="J108" s="13">
        <v>16868</v>
      </c>
      <c r="K108" s="13">
        <v>13705</v>
      </c>
      <c r="L108" s="85">
        <v>20582</v>
      </c>
    </row>
    <row r="109" spans="1:12">
      <c r="A109" s="12" t="s">
        <v>73</v>
      </c>
      <c r="B109" s="35">
        <v>536</v>
      </c>
      <c r="C109" s="13">
        <v>532</v>
      </c>
      <c r="D109" s="13">
        <v>570</v>
      </c>
      <c r="E109" s="13">
        <v>555</v>
      </c>
      <c r="F109" s="13">
        <v>538</v>
      </c>
      <c r="G109" s="13">
        <v>520</v>
      </c>
      <c r="H109" s="13">
        <v>500</v>
      </c>
      <c r="I109" s="13">
        <v>477</v>
      </c>
      <c r="J109" s="13">
        <v>448</v>
      </c>
      <c r="K109" s="13">
        <v>408</v>
      </c>
      <c r="L109" s="85">
        <v>374</v>
      </c>
    </row>
    <row r="110" spans="1:12">
      <c r="A110" s="12" t="s">
        <v>74</v>
      </c>
      <c r="B110" s="35">
        <v>5081</v>
      </c>
      <c r="C110" s="13">
        <v>2856</v>
      </c>
      <c r="D110" s="13">
        <v>2396</v>
      </c>
      <c r="E110" s="13">
        <v>2060</v>
      </c>
      <c r="F110" s="13">
        <v>2646</v>
      </c>
      <c r="G110" s="13">
        <v>2676</v>
      </c>
      <c r="H110" s="13">
        <v>3004</v>
      </c>
      <c r="I110" s="13">
        <v>2579</v>
      </c>
      <c r="J110" s="13">
        <v>1938</v>
      </c>
      <c r="K110" s="13">
        <v>1746</v>
      </c>
      <c r="L110" s="85">
        <v>1734</v>
      </c>
    </row>
    <row r="111" spans="1:12">
      <c r="A111" s="12" t="s">
        <v>82</v>
      </c>
      <c r="B111" s="35">
        <v>3558</v>
      </c>
      <c r="C111" s="13">
        <v>2392</v>
      </c>
      <c r="D111" s="13">
        <v>13259</v>
      </c>
      <c r="E111" s="13">
        <v>8749</v>
      </c>
      <c r="F111" s="13">
        <v>8574</v>
      </c>
      <c r="G111" s="13">
        <v>4841</v>
      </c>
      <c r="H111" s="13">
        <v>2481</v>
      </c>
      <c r="I111" s="13">
        <v>2485</v>
      </c>
      <c r="J111" s="13">
        <v>1537</v>
      </c>
      <c r="K111" s="13">
        <v>0</v>
      </c>
      <c r="L111" s="85">
        <v>0</v>
      </c>
    </row>
    <row r="112" spans="1:12">
      <c r="A112" s="12" t="s">
        <v>75</v>
      </c>
      <c r="B112" s="36">
        <v>23</v>
      </c>
      <c r="C112" s="2">
        <v>19</v>
      </c>
      <c r="D112" s="2">
        <v>525</v>
      </c>
      <c r="E112" s="2">
        <v>333</v>
      </c>
      <c r="F112" s="2">
        <v>459</v>
      </c>
      <c r="G112" s="2">
        <f>27</f>
        <v>27</v>
      </c>
      <c r="H112" s="2">
        <f>2787</f>
        <v>2787</v>
      </c>
      <c r="I112" s="2">
        <f>54</f>
        <v>54</v>
      </c>
      <c r="J112" s="2">
        <f>9</f>
        <v>9</v>
      </c>
      <c r="K112" s="2">
        <v>1</v>
      </c>
      <c r="L112" s="87">
        <v>0</v>
      </c>
    </row>
    <row r="113" spans="1:12">
      <c r="A113" s="12"/>
      <c r="B113" s="35"/>
      <c r="C113" s="13"/>
      <c r="D113" s="13"/>
      <c r="E113" s="13"/>
      <c r="F113" s="13"/>
      <c r="G113" s="13"/>
      <c r="H113" s="13"/>
      <c r="I113" s="13"/>
      <c r="J113" s="13"/>
      <c r="K113" s="13"/>
      <c r="L113" s="23"/>
    </row>
    <row r="114" spans="1:12">
      <c r="A114" s="26" t="s">
        <v>76</v>
      </c>
      <c r="B114" s="36">
        <f t="shared" ref="B114:I114" si="47">SUM(B115:B126)</f>
        <v>41106</v>
      </c>
      <c r="C114" s="2">
        <f t="shared" si="47"/>
        <v>42953</v>
      </c>
      <c r="D114" s="2">
        <f t="shared" si="47"/>
        <v>62258</v>
      </c>
      <c r="E114" s="2">
        <f t="shared" si="47"/>
        <v>63050</v>
      </c>
      <c r="F114" s="2">
        <f t="shared" si="47"/>
        <v>53241</v>
      </c>
      <c r="G114" s="2">
        <f t="shared" si="47"/>
        <v>64977</v>
      </c>
      <c r="H114" s="2">
        <f t="shared" si="47"/>
        <v>57686</v>
      </c>
      <c r="I114" s="2">
        <f t="shared" si="47"/>
        <v>86268</v>
      </c>
      <c r="J114" s="2">
        <f>SUM(J115:J126)</f>
        <v>78879</v>
      </c>
      <c r="K114" s="2">
        <f>SUM(K115:K126)</f>
        <v>72123</v>
      </c>
      <c r="L114" s="15">
        <f>SUM(L115:L126)</f>
        <v>63994</v>
      </c>
    </row>
    <row r="115" spans="1:12">
      <c r="A115" s="12" t="s">
        <v>77</v>
      </c>
      <c r="B115" s="35">
        <v>6581</v>
      </c>
      <c r="C115" s="13">
        <v>7378</v>
      </c>
      <c r="D115" s="13">
        <v>8904</v>
      </c>
      <c r="E115" s="13">
        <v>9930</v>
      </c>
      <c r="F115" s="13">
        <v>12251</v>
      </c>
      <c r="G115" s="13">
        <v>12422</v>
      </c>
      <c r="H115" s="13">
        <v>16033</v>
      </c>
      <c r="I115" s="13">
        <v>17821</v>
      </c>
      <c r="J115" s="13">
        <v>22359</v>
      </c>
      <c r="K115" s="13">
        <v>24348</v>
      </c>
      <c r="L115" s="85">
        <v>26482</v>
      </c>
    </row>
    <row r="116" spans="1:12">
      <c r="A116" s="12" t="s">
        <v>78</v>
      </c>
      <c r="B116" s="35">
        <v>89</v>
      </c>
      <c r="C116" s="13">
        <v>88</v>
      </c>
      <c r="D116" s="13">
        <v>59</v>
      </c>
      <c r="E116" s="13">
        <v>43</v>
      </c>
      <c r="F116" s="13">
        <v>64</v>
      </c>
      <c r="G116" s="13">
        <v>47</v>
      </c>
      <c r="H116" s="13">
        <v>94</v>
      </c>
      <c r="I116" s="13">
        <v>93</v>
      </c>
      <c r="J116" s="13">
        <v>125</v>
      </c>
      <c r="K116" s="13">
        <v>149</v>
      </c>
      <c r="L116" s="85">
        <v>102</v>
      </c>
    </row>
    <row r="117" spans="1:12">
      <c r="A117" s="12" t="s">
        <v>71</v>
      </c>
      <c r="B117" s="35">
        <v>0</v>
      </c>
      <c r="C117" s="13">
        <v>6</v>
      </c>
      <c r="D117" s="13">
        <v>100</v>
      </c>
      <c r="E117" s="13">
        <v>79</v>
      </c>
      <c r="F117" s="13">
        <v>114</v>
      </c>
      <c r="G117" s="13">
        <v>329</v>
      </c>
      <c r="H117" s="13">
        <v>269</v>
      </c>
      <c r="I117" s="13">
        <v>10</v>
      </c>
      <c r="J117" s="13">
        <v>14</v>
      </c>
      <c r="K117" s="13">
        <v>18</v>
      </c>
      <c r="L117" s="85">
        <v>26</v>
      </c>
    </row>
    <row r="118" spans="1:12">
      <c r="A118" s="12" t="s">
        <v>72</v>
      </c>
      <c r="B118" s="35">
        <f>231+1251</f>
        <v>1482</v>
      </c>
      <c r="C118" s="13">
        <f>110+112</f>
        <v>222</v>
      </c>
      <c r="D118" s="13">
        <v>116</v>
      </c>
      <c r="E118" s="13">
        <v>362</v>
      </c>
      <c r="F118" s="13">
        <v>1906</v>
      </c>
      <c r="G118" s="13">
        <v>2812</v>
      </c>
      <c r="H118" s="13">
        <v>709</v>
      </c>
      <c r="I118" s="13">
        <v>2582</v>
      </c>
      <c r="J118" s="13">
        <v>1000</v>
      </c>
      <c r="K118" s="13">
        <v>1873</v>
      </c>
      <c r="L118" s="85">
        <v>2080</v>
      </c>
    </row>
    <row r="119" spans="1:12">
      <c r="A119" s="12" t="s">
        <v>73</v>
      </c>
      <c r="B119" s="35">
        <v>11</v>
      </c>
      <c r="C119" s="13">
        <v>13</v>
      </c>
      <c r="D119" s="13">
        <v>15</v>
      </c>
      <c r="E119" s="13">
        <v>15</v>
      </c>
      <c r="F119" s="13">
        <v>17</v>
      </c>
      <c r="G119" s="13">
        <v>18</v>
      </c>
      <c r="H119" s="13">
        <v>20</v>
      </c>
      <c r="I119" s="13">
        <v>22</v>
      </c>
      <c r="J119" s="13">
        <v>26</v>
      </c>
      <c r="K119" s="13">
        <v>29</v>
      </c>
      <c r="L119" s="85">
        <v>31</v>
      </c>
    </row>
    <row r="120" spans="1:12">
      <c r="A120" s="12" t="s">
        <v>74</v>
      </c>
      <c r="B120" s="35">
        <v>1086</v>
      </c>
      <c r="C120" s="13">
        <v>1413</v>
      </c>
      <c r="D120" s="13">
        <v>1651</v>
      </c>
      <c r="E120" s="13">
        <v>1531</v>
      </c>
      <c r="F120" s="13">
        <v>1833</v>
      </c>
      <c r="G120" s="13">
        <v>2764</v>
      </c>
      <c r="H120" s="13">
        <v>2505</v>
      </c>
      <c r="I120" s="13">
        <v>3891</v>
      </c>
      <c r="J120" s="13">
        <v>2091</v>
      </c>
      <c r="K120" s="13">
        <v>1418</v>
      </c>
      <c r="L120" s="85">
        <v>1541</v>
      </c>
    </row>
    <row r="121" spans="1:12">
      <c r="A121" s="12" t="s">
        <v>87</v>
      </c>
      <c r="B121" s="35">
        <v>7090</v>
      </c>
      <c r="C121" s="13">
        <v>9315</v>
      </c>
      <c r="D121" s="13">
        <v>11859</v>
      </c>
      <c r="E121" s="13">
        <v>14834</v>
      </c>
      <c r="F121" s="13">
        <v>17104</v>
      </c>
      <c r="G121" s="13">
        <v>20662</v>
      </c>
      <c r="H121" s="13">
        <v>22771</v>
      </c>
      <c r="I121" s="13">
        <v>24958</v>
      </c>
      <c r="J121" s="13">
        <v>27036</v>
      </c>
      <c r="K121" s="13">
        <v>27763</v>
      </c>
      <c r="L121" s="14">
        <f>53267-25166</f>
        <v>28101</v>
      </c>
    </row>
    <row r="122" spans="1:12">
      <c r="A122" s="20" t="s">
        <v>80</v>
      </c>
      <c r="B122" s="35">
        <v>-2157</v>
      </c>
      <c r="C122" s="13">
        <v>-2379</v>
      </c>
      <c r="D122" s="13">
        <v>-2855</v>
      </c>
      <c r="E122" s="13">
        <v>-3346</v>
      </c>
      <c r="F122" s="13">
        <v>-4278</v>
      </c>
      <c r="G122" s="13">
        <v>-5679</v>
      </c>
      <c r="H122" s="13">
        <v>-7440</v>
      </c>
      <c r="I122" s="13">
        <v>-7763</v>
      </c>
      <c r="J122" s="13">
        <v>-8659</v>
      </c>
      <c r="K122" s="13">
        <v>-8424</v>
      </c>
      <c r="L122" s="14">
        <v>-8189</v>
      </c>
    </row>
    <row r="123" spans="1:12">
      <c r="A123" s="12" t="s">
        <v>81</v>
      </c>
      <c r="B123" s="35">
        <f>8191-B122-B121</f>
        <v>3258</v>
      </c>
      <c r="C123" s="13">
        <f>9391-C122-C121</f>
        <v>2455</v>
      </c>
      <c r="D123" s="13">
        <f>10953-D122-D121</f>
        <v>1949</v>
      </c>
      <c r="E123" s="13">
        <f>14313-E122-E121</f>
        <v>2825</v>
      </c>
      <c r="F123" s="13">
        <f>14925-F122-F121</f>
        <v>2099</v>
      </c>
      <c r="G123" s="13">
        <f>16578-G122-G121</f>
        <v>1595</v>
      </c>
      <c r="H123" s="13">
        <f>16856-H122-H121</f>
        <v>1525</v>
      </c>
      <c r="I123" s="13">
        <f>21810-I121-I122</f>
        <v>4615</v>
      </c>
      <c r="J123" s="13">
        <f>990+21-9</f>
        <v>1002</v>
      </c>
      <c r="K123" s="13">
        <f>743+43</f>
        <v>786</v>
      </c>
      <c r="L123" s="14">
        <f>2200-189+53</f>
        <v>2064</v>
      </c>
    </row>
    <row r="124" spans="1:12">
      <c r="A124" s="12" t="s">
        <v>82</v>
      </c>
      <c r="B124" s="35">
        <v>4360</v>
      </c>
      <c r="C124" s="13">
        <v>2797</v>
      </c>
      <c r="D124" s="13">
        <v>24546</v>
      </c>
      <c r="E124" s="13">
        <v>12281</v>
      </c>
      <c r="F124" s="13">
        <v>8776</v>
      </c>
      <c r="G124" s="13">
        <v>6066</v>
      </c>
      <c r="H124" s="13">
        <v>6015</v>
      </c>
      <c r="I124" s="13">
        <v>7741</v>
      </c>
      <c r="J124" s="13">
        <v>10541</v>
      </c>
      <c r="K124" s="13">
        <v>6839</v>
      </c>
      <c r="L124" s="14">
        <v>9563</v>
      </c>
    </row>
    <row r="125" spans="1:12">
      <c r="A125" s="12" t="s">
        <v>83</v>
      </c>
      <c r="B125" s="35">
        <v>924</v>
      </c>
      <c r="C125" s="13">
        <v>6104</v>
      </c>
      <c r="D125" s="13">
        <v>3827</v>
      </c>
      <c r="E125" s="13">
        <v>5046</v>
      </c>
      <c r="F125" s="13">
        <v>2735</v>
      </c>
      <c r="G125" s="13">
        <v>4265</v>
      </c>
      <c r="H125" s="13">
        <v>6322</v>
      </c>
      <c r="I125" s="13">
        <v>3844</v>
      </c>
      <c r="J125" s="13">
        <v>2919</v>
      </c>
      <c r="K125" s="13">
        <v>1501</v>
      </c>
      <c r="L125" s="14">
        <v>162</v>
      </c>
    </row>
    <row r="126" spans="1:12">
      <c r="A126" s="12" t="s">
        <v>84</v>
      </c>
      <c r="B126" s="36">
        <v>18382</v>
      </c>
      <c r="C126" s="2">
        <v>15541</v>
      </c>
      <c r="D126" s="2">
        <v>12087</v>
      </c>
      <c r="E126" s="2">
        <v>19450</v>
      </c>
      <c r="F126" s="2">
        <v>10620</v>
      </c>
      <c r="G126" s="2">
        <v>19676</v>
      </c>
      <c r="H126" s="2">
        <v>8863</v>
      </c>
      <c r="I126" s="2">
        <v>28454</v>
      </c>
      <c r="J126" s="2">
        <v>20425</v>
      </c>
      <c r="K126" s="2">
        <v>15823</v>
      </c>
      <c r="L126" s="15">
        <v>2031</v>
      </c>
    </row>
    <row r="127" spans="1:12">
      <c r="A127" s="12"/>
      <c r="B127" s="35"/>
      <c r="C127" s="13"/>
      <c r="D127" s="13"/>
      <c r="E127" s="13"/>
      <c r="F127" s="13"/>
      <c r="G127" s="13"/>
      <c r="H127" s="13"/>
      <c r="I127" s="13"/>
      <c r="J127" s="13"/>
      <c r="K127" s="13"/>
      <c r="L127" s="23"/>
    </row>
    <row r="128" spans="1:12">
      <c r="A128" s="12" t="s">
        <v>85</v>
      </c>
      <c r="B128" s="35">
        <v>0</v>
      </c>
      <c r="C128" s="13">
        <v>20</v>
      </c>
      <c r="D128" s="13">
        <v>704</v>
      </c>
      <c r="E128" s="13">
        <v>438</v>
      </c>
      <c r="F128" s="13">
        <v>8</v>
      </c>
      <c r="G128" s="13">
        <v>147</v>
      </c>
      <c r="H128" s="13">
        <v>0</v>
      </c>
      <c r="I128" s="13">
        <v>8942</v>
      </c>
      <c r="J128" s="13">
        <v>8799</v>
      </c>
      <c r="K128" s="13">
        <v>8926</v>
      </c>
      <c r="L128" s="14">
        <v>8871</v>
      </c>
    </row>
    <row r="129" spans="1:12" ht="15" thickBot="1">
      <c r="A129" s="16" t="s">
        <v>86</v>
      </c>
      <c r="B129" s="38">
        <f t="shared" ref="B129:J129" si="48">B128+B114+B101</f>
        <v>195266</v>
      </c>
      <c r="C129" s="4">
        <f t="shared" si="48"/>
        <v>246135</v>
      </c>
      <c r="D129" s="4">
        <f t="shared" si="48"/>
        <v>328145</v>
      </c>
      <c r="E129" s="4">
        <f t="shared" si="48"/>
        <v>382365</v>
      </c>
      <c r="F129" s="4">
        <f t="shared" si="48"/>
        <v>432024</v>
      </c>
      <c r="G129" s="4">
        <f t="shared" si="48"/>
        <v>504993</v>
      </c>
      <c r="H129" s="4">
        <f t="shared" si="48"/>
        <v>562884</v>
      </c>
      <c r="I129" s="4">
        <f t="shared" si="48"/>
        <v>663170</v>
      </c>
      <c r="J129" s="4">
        <f t="shared" si="48"/>
        <v>710009</v>
      </c>
      <c r="K129" s="4">
        <f>K128+K114+K101</f>
        <v>739117</v>
      </c>
      <c r="L129" s="21">
        <f>L128+L114+L101</f>
        <v>758018</v>
      </c>
    </row>
    <row r="130" spans="1:12">
      <c r="A130" s="12"/>
      <c r="B130" s="35"/>
      <c r="C130" s="13"/>
      <c r="D130" s="13"/>
      <c r="E130" s="13"/>
      <c r="F130" s="13"/>
      <c r="G130" s="13"/>
      <c r="H130" s="13"/>
      <c r="I130" s="13"/>
      <c r="J130" s="13"/>
      <c r="K130" s="13"/>
      <c r="L130" s="23"/>
    </row>
    <row r="131" spans="1:12">
      <c r="A131" s="12" t="s">
        <v>88</v>
      </c>
      <c r="B131" s="35">
        <v>59578</v>
      </c>
      <c r="C131" s="13">
        <v>70222</v>
      </c>
      <c r="D131" s="13">
        <v>87259</v>
      </c>
      <c r="E131" s="13">
        <v>103103</v>
      </c>
      <c r="F131" s="13">
        <v>109139</v>
      </c>
      <c r="G131" s="13">
        <v>119784</v>
      </c>
      <c r="H131" s="13">
        <v>122247</v>
      </c>
      <c r="I131" s="13">
        <v>182352</v>
      </c>
      <c r="J131" s="13">
        <v>175942</v>
      </c>
      <c r="K131" s="13">
        <v>170336</v>
      </c>
      <c r="L131" s="85">
        <v>153094</v>
      </c>
    </row>
    <row r="132" spans="1:12">
      <c r="A132" s="12"/>
      <c r="B132" s="35"/>
      <c r="C132" s="13"/>
      <c r="D132" s="13"/>
      <c r="E132" s="13"/>
      <c r="F132" s="13"/>
      <c r="G132" s="13"/>
      <c r="H132" s="13"/>
      <c r="I132" s="13"/>
      <c r="J132" s="13"/>
      <c r="K132" s="13"/>
      <c r="L132" s="23"/>
    </row>
    <row r="133" spans="1:12">
      <c r="A133" s="26" t="s">
        <v>89</v>
      </c>
      <c r="B133" s="36">
        <f t="shared" ref="B133:L133" si="49">SUM(B134:B142)</f>
        <v>95349</v>
      </c>
      <c r="C133" s="2">
        <f t="shared" si="49"/>
        <v>132700</v>
      </c>
      <c r="D133" s="2">
        <f t="shared" si="49"/>
        <v>195841</v>
      </c>
      <c r="E133" s="2">
        <f t="shared" si="49"/>
        <v>222672</v>
      </c>
      <c r="F133" s="2">
        <f t="shared" si="49"/>
        <v>264446</v>
      </c>
      <c r="G133" s="2">
        <f t="shared" si="49"/>
        <v>310915</v>
      </c>
      <c r="H133" s="2">
        <f t="shared" si="49"/>
        <v>366002</v>
      </c>
      <c r="I133" s="2">
        <f t="shared" si="49"/>
        <v>405039</v>
      </c>
      <c r="J133" s="2">
        <f t="shared" si="49"/>
        <v>453777</v>
      </c>
      <c r="K133" s="2">
        <f t="shared" si="49"/>
        <v>474353</v>
      </c>
      <c r="L133" s="15">
        <f t="shared" si="49"/>
        <v>495194</v>
      </c>
    </row>
    <row r="134" spans="1:12">
      <c r="A134" s="12" t="s">
        <v>90</v>
      </c>
      <c r="B134" s="35">
        <f>44253+12796</f>
        <v>57049</v>
      </c>
      <c r="C134" s="13">
        <f>59322+34628</f>
        <v>93950</v>
      </c>
      <c r="D134" s="13">
        <f>84396+63380</f>
        <v>147776</v>
      </c>
      <c r="E134" s="13">
        <f>90732+76983</f>
        <v>167715</v>
      </c>
      <c r="F134" s="13">
        <f>106526+84250</f>
        <v>190776</v>
      </c>
      <c r="G134" s="13">
        <v>234562</v>
      </c>
      <c r="H134" s="13">
        <v>277458</v>
      </c>
      <c r="I134" s="13">
        <v>306970</v>
      </c>
      <c r="J134" s="13">
        <v>336770</v>
      </c>
      <c r="K134" s="13">
        <v>348112</v>
      </c>
      <c r="L134" s="85">
        <v>387208</v>
      </c>
    </row>
    <row r="135" spans="1:12">
      <c r="A135" s="12" t="s">
        <v>72</v>
      </c>
      <c r="B135" s="35">
        <f>8219+786</f>
        <v>9005</v>
      </c>
      <c r="C135" s="13">
        <f>4583+3626</f>
        <v>8209</v>
      </c>
      <c r="D135" s="13">
        <f>5357+4576</f>
        <v>9933</v>
      </c>
      <c r="E135" s="13">
        <f>4639+1273</f>
        <v>5912</v>
      </c>
      <c r="F135" s="13">
        <f>10095+840</f>
        <v>10935</v>
      </c>
      <c r="G135" s="13">
        <f>7871+310</f>
        <v>8181</v>
      </c>
      <c r="H135" s="13">
        <f>6647+520</f>
        <v>7167</v>
      </c>
      <c r="I135" s="13">
        <f>5410+2862</f>
        <v>8272</v>
      </c>
      <c r="J135" s="13">
        <f>4032+6767</f>
        <v>10799</v>
      </c>
      <c r="K135" s="13">
        <f>3434+16570</f>
        <v>20004</v>
      </c>
      <c r="L135" s="14">
        <f>1365+5643</f>
        <v>7008</v>
      </c>
    </row>
    <row r="136" spans="1:12">
      <c r="A136" s="12" t="s">
        <v>38</v>
      </c>
      <c r="B136" s="35">
        <v>6098</v>
      </c>
      <c r="C136" s="13">
        <v>5262</v>
      </c>
      <c r="D136" s="13">
        <v>7931</v>
      </c>
      <c r="E136" s="13">
        <v>13807</v>
      </c>
      <c r="F136" s="13">
        <v>15806</v>
      </c>
      <c r="G136" s="13">
        <v>19461</v>
      </c>
      <c r="H136" s="13">
        <v>20131</v>
      </c>
      <c r="I136" s="13">
        <v>21696</v>
      </c>
      <c r="J136" s="13">
        <v>18067</v>
      </c>
      <c r="K136" s="13">
        <v>15846</v>
      </c>
      <c r="L136" s="14">
        <v>8350</v>
      </c>
    </row>
    <row r="137" spans="1:12">
      <c r="A137" s="12" t="s">
        <v>91</v>
      </c>
      <c r="B137" s="35">
        <v>6061</v>
      </c>
      <c r="C137" s="13">
        <v>6988</v>
      </c>
      <c r="D137" s="13">
        <v>7748</v>
      </c>
      <c r="E137" s="13">
        <v>8560</v>
      </c>
      <c r="F137" s="13">
        <v>10282</v>
      </c>
      <c r="G137" s="13">
        <v>9922</v>
      </c>
      <c r="H137" s="13">
        <v>11960</v>
      </c>
      <c r="I137" s="13">
        <v>12405</v>
      </c>
      <c r="J137" s="13">
        <v>13790</v>
      </c>
      <c r="K137" s="13">
        <v>13725</v>
      </c>
      <c r="L137" s="14">
        <v>13546</v>
      </c>
    </row>
    <row r="138" spans="1:12">
      <c r="A138" s="12" t="s">
        <v>92</v>
      </c>
      <c r="B138" s="35">
        <v>8883</v>
      </c>
      <c r="C138" s="13">
        <v>8494</v>
      </c>
      <c r="D138" s="13">
        <v>10343</v>
      </c>
      <c r="E138" s="13">
        <v>12740</v>
      </c>
      <c r="F138" s="13">
        <v>20087</v>
      </c>
      <c r="G138" s="13">
        <v>21157</v>
      </c>
      <c r="H138" s="13">
        <v>31078</v>
      </c>
      <c r="I138" s="13">
        <v>32841</v>
      </c>
      <c r="J138" s="13">
        <v>44021</v>
      </c>
      <c r="K138" s="13">
        <v>44370</v>
      </c>
      <c r="L138" s="14">
        <v>45588</v>
      </c>
    </row>
    <row r="139" spans="1:12">
      <c r="A139" s="12" t="s">
        <v>93</v>
      </c>
      <c r="B139" s="35">
        <v>537</v>
      </c>
      <c r="C139" s="13">
        <v>632</v>
      </c>
      <c r="D139" s="13">
        <v>521</v>
      </c>
      <c r="E139" s="13">
        <v>511</v>
      </c>
      <c r="F139" s="13">
        <v>501</v>
      </c>
      <c r="G139" s="13">
        <v>488</v>
      </c>
      <c r="H139" s="13">
        <v>474</v>
      </c>
      <c r="I139" s="13">
        <v>3838</v>
      </c>
      <c r="J139" s="13">
        <v>9819</v>
      </c>
      <c r="K139" s="13">
        <v>9533</v>
      </c>
      <c r="L139" s="14">
        <v>9130</v>
      </c>
    </row>
    <row r="140" spans="1:12">
      <c r="A140" s="12" t="s">
        <v>102</v>
      </c>
      <c r="B140" s="35">
        <v>1466</v>
      </c>
      <c r="C140" s="13">
        <v>1134</v>
      </c>
      <c r="D140" s="13">
        <v>1508</v>
      </c>
      <c r="E140" s="13">
        <v>1971</v>
      </c>
      <c r="F140" s="13">
        <v>2598</v>
      </c>
      <c r="G140" s="13">
        <v>1037</v>
      </c>
      <c r="H140" s="13">
        <v>1015</v>
      </c>
      <c r="I140" s="13">
        <v>875</v>
      </c>
      <c r="J140" s="13">
        <v>871</v>
      </c>
      <c r="K140" s="13">
        <v>1201</v>
      </c>
      <c r="L140" s="14">
        <v>1031</v>
      </c>
    </row>
    <row r="141" spans="1:12">
      <c r="A141" s="12" t="s">
        <v>96</v>
      </c>
      <c r="B141" s="35">
        <v>714</v>
      </c>
      <c r="C141" s="13">
        <v>995</v>
      </c>
      <c r="D141" s="13">
        <v>1686</v>
      </c>
      <c r="E141" s="13">
        <v>1844</v>
      </c>
      <c r="F141" s="13">
        <v>2554</v>
      </c>
      <c r="G141" s="13">
        <v>3589</v>
      </c>
      <c r="H141" s="13">
        <v>2664</v>
      </c>
      <c r="I141" s="13">
        <v>2626</v>
      </c>
      <c r="J141" s="13">
        <v>1940</v>
      </c>
      <c r="K141" s="13">
        <v>1766</v>
      </c>
      <c r="L141" s="14">
        <v>2038</v>
      </c>
    </row>
    <row r="142" spans="1:12">
      <c r="A142" s="12" t="s">
        <v>101</v>
      </c>
      <c r="B142" s="36">
        <v>5536</v>
      </c>
      <c r="C142" s="2">
        <v>7036</v>
      </c>
      <c r="D142" s="2">
        <v>8395</v>
      </c>
      <c r="E142" s="2">
        <v>9612</v>
      </c>
      <c r="F142" s="2">
        <v>10907</v>
      </c>
      <c r="G142" s="2">
        <v>12518</v>
      </c>
      <c r="H142" s="2">
        <v>14055</v>
      </c>
      <c r="I142" s="2">
        <v>15516</v>
      </c>
      <c r="J142" s="2">
        <v>17700</v>
      </c>
      <c r="K142" s="2">
        <v>19796</v>
      </c>
      <c r="L142" s="15">
        <v>21295</v>
      </c>
    </row>
    <row r="143" spans="1:12">
      <c r="A143" s="12"/>
      <c r="B143" s="35"/>
      <c r="C143" s="13"/>
      <c r="D143" s="13"/>
      <c r="E143" s="13"/>
      <c r="F143" s="13"/>
      <c r="G143" s="13"/>
      <c r="H143" s="13"/>
      <c r="I143" s="13"/>
      <c r="J143" s="13"/>
      <c r="K143" s="13"/>
      <c r="L143" s="23"/>
    </row>
    <row r="144" spans="1:12">
      <c r="A144" s="26" t="s">
        <v>98</v>
      </c>
      <c r="B144" s="36">
        <f t="shared" ref="B144:J144" si="50">SUM(B145:B155)</f>
        <v>42362</v>
      </c>
      <c r="C144" s="2">
        <f t="shared" si="50"/>
        <v>43213</v>
      </c>
      <c r="D144" s="2">
        <f t="shared" si="50"/>
        <v>44185</v>
      </c>
      <c r="E144" s="2">
        <f t="shared" si="50"/>
        <v>56115</v>
      </c>
      <c r="F144" s="2">
        <f t="shared" si="50"/>
        <v>58439</v>
      </c>
      <c r="G144" s="2">
        <f t="shared" si="50"/>
        <v>74181</v>
      </c>
      <c r="H144" s="2">
        <f t="shared" si="50"/>
        <v>74635</v>
      </c>
      <c r="I144" s="2">
        <f t="shared" si="50"/>
        <v>73971</v>
      </c>
      <c r="J144" s="2">
        <f t="shared" si="50"/>
        <v>78607</v>
      </c>
      <c r="K144" s="2">
        <f>SUM(K145:K155)</f>
        <v>92745</v>
      </c>
      <c r="L144" s="15">
        <f>SUM(L145:L155)</f>
        <v>108051</v>
      </c>
    </row>
    <row r="145" spans="1:12">
      <c r="A145" s="12" t="s">
        <v>90</v>
      </c>
      <c r="B145" s="35">
        <f>3324+13811</f>
        <v>17135</v>
      </c>
      <c r="C145" s="13">
        <f>2880+9143</f>
        <v>12023</v>
      </c>
      <c r="D145" s="13">
        <f>2880+9654</f>
        <v>12534</v>
      </c>
      <c r="E145" s="13">
        <f>7170+7682</f>
        <v>14852</v>
      </c>
      <c r="F145" s="13">
        <f>2517+9663</f>
        <v>12180</v>
      </c>
      <c r="G145" s="13">
        <v>20258</v>
      </c>
      <c r="H145" s="13">
        <v>19976</v>
      </c>
      <c r="I145" s="13">
        <v>15688</v>
      </c>
      <c r="J145" s="13">
        <v>18530</v>
      </c>
      <c r="K145" s="13">
        <v>40572</v>
      </c>
      <c r="L145" s="85">
        <v>53402</v>
      </c>
    </row>
    <row r="146" spans="1:12">
      <c r="A146" s="12" t="s">
        <v>72</v>
      </c>
      <c r="B146" s="35">
        <f>43+2626</f>
        <v>2669</v>
      </c>
      <c r="C146" s="13">
        <f>139+4644</f>
        <v>4783</v>
      </c>
      <c r="D146" s="13">
        <f>516+1404</f>
        <v>1920</v>
      </c>
      <c r="E146" s="13">
        <f>900+3590</f>
        <v>4490</v>
      </c>
      <c r="F146" s="13">
        <f>1386+572</f>
        <v>1958</v>
      </c>
      <c r="G146" s="13">
        <f>1461+1197</f>
        <v>2658</v>
      </c>
      <c r="H146" s="13">
        <f>1375+2845</f>
        <v>4220</v>
      </c>
      <c r="I146" s="13">
        <f>1615+2011</f>
        <v>3626</v>
      </c>
      <c r="J146" s="13">
        <f>1382+3826</f>
        <v>5208</v>
      </c>
      <c r="K146" s="13">
        <f>1857+4896</f>
        <v>6753</v>
      </c>
      <c r="L146" s="14">
        <f>2069+1397</f>
        <v>3466</v>
      </c>
    </row>
    <row r="147" spans="1:12">
      <c r="A147" s="12" t="s">
        <v>91</v>
      </c>
      <c r="B147" s="35">
        <v>184</v>
      </c>
      <c r="C147" s="13">
        <v>210</v>
      </c>
      <c r="D147" s="13">
        <v>2623</v>
      </c>
      <c r="E147" s="13">
        <v>3054</v>
      </c>
      <c r="F147" s="13">
        <v>3629</v>
      </c>
      <c r="G147" s="13">
        <v>4561</v>
      </c>
      <c r="H147" s="13">
        <v>3926</v>
      </c>
      <c r="I147" s="13">
        <v>5190</v>
      </c>
      <c r="J147" s="13">
        <v>7348</v>
      </c>
      <c r="K147" s="13">
        <v>3244</v>
      </c>
      <c r="L147" s="14">
        <v>3244</v>
      </c>
    </row>
    <row r="148" spans="1:12">
      <c r="A148" s="12" t="s">
        <v>92</v>
      </c>
      <c r="B148" s="35">
        <v>1498</v>
      </c>
      <c r="C148" s="13">
        <v>2010</v>
      </c>
      <c r="D148" s="13">
        <v>2553</v>
      </c>
      <c r="E148" s="13">
        <v>4078</v>
      </c>
      <c r="F148" s="13">
        <v>6648</v>
      </c>
      <c r="G148" s="13">
        <v>9601</v>
      </c>
      <c r="H148" s="13">
        <v>9972</v>
      </c>
      <c r="I148" s="13">
        <v>11415</v>
      </c>
      <c r="J148" s="13">
        <v>9057</v>
      </c>
      <c r="K148" s="13">
        <v>5309</v>
      </c>
      <c r="L148" s="14">
        <v>5662</v>
      </c>
    </row>
    <row r="149" spans="1:12">
      <c r="A149" s="12" t="s">
        <v>93</v>
      </c>
      <c r="B149" s="35">
        <v>15</v>
      </c>
      <c r="C149" s="13">
        <v>52</v>
      </c>
      <c r="D149" s="13">
        <v>8</v>
      </c>
      <c r="E149" s="13">
        <v>10</v>
      </c>
      <c r="F149" s="13">
        <v>10</v>
      </c>
      <c r="G149" s="13">
        <v>12</v>
      </c>
      <c r="H149" s="13">
        <v>14</v>
      </c>
      <c r="I149" s="13">
        <v>90</v>
      </c>
      <c r="J149" s="13">
        <v>246</v>
      </c>
      <c r="K149" s="13">
        <v>286</v>
      </c>
      <c r="L149" s="14">
        <v>332</v>
      </c>
    </row>
    <row r="150" spans="1:12">
      <c r="A150" s="12" t="s">
        <v>94</v>
      </c>
      <c r="B150" s="35">
        <v>13985</v>
      </c>
      <c r="C150" s="13">
        <v>13027</v>
      </c>
      <c r="D150" s="13">
        <v>15696</v>
      </c>
      <c r="E150" s="13">
        <v>16246</v>
      </c>
      <c r="F150" s="13">
        <v>21436</v>
      </c>
      <c r="G150" s="13">
        <v>20824</v>
      </c>
      <c r="H150" s="13">
        <v>21335</v>
      </c>
      <c r="I150" s="13">
        <v>22586</v>
      </c>
      <c r="J150" s="13">
        <v>20830</v>
      </c>
      <c r="K150" s="13">
        <v>20065</v>
      </c>
      <c r="L150" s="14">
        <v>23621</v>
      </c>
    </row>
    <row r="151" spans="1:12">
      <c r="A151" s="12" t="s">
        <v>95</v>
      </c>
      <c r="B151" s="35">
        <f>16701-B150</f>
        <v>2716</v>
      </c>
      <c r="C151" s="13">
        <f>16331-C150</f>
        <v>3304</v>
      </c>
      <c r="D151" s="13">
        <f>18384-D150</f>
        <v>2688</v>
      </c>
      <c r="E151" s="13">
        <f>23487-E150</f>
        <v>7241</v>
      </c>
      <c r="F151" s="13">
        <f>28999-F150</f>
        <v>7563</v>
      </c>
      <c r="G151" s="13">
        <f>28531-G150</f>
        <v>7707</v>
      </c>
      <c r="H151" s="13">
        <f>27984-H150</f>
        <v>6649</v>
      </c>
      <c r="I151" s="13">
        <f>33194-I150-875</f>
        <v>9733</v>
      </c>
      <c r="J151" s="13">
        <f>32653-J150-J140</f>
        <v>10952</v>
      </c>
      <c r="K151" s="13">
        <f>33317-K150-K140</f>
        <v>12051</v>
      </c>
      <c r="L151" s="14">
        <f>36849-L150</f>
        <v>13228</v>
      </c>
    </row>
    <row r="152" spans="1:12">
      <c r="A152" s="12" t="s">
        <v>96</v>
      </c>
      <c r="B152" s="35">
        <v>1471</v>
      </c>
      <c r="C152" s="13">
        <v>1883</v>
      </c>
      <c r="D152" s="13">
        <v>1221</v>
      </c>
      <c r="E152" s="13">
        <v>2653</v>
      </c>
      <c r="F152" s="13">
        <v>2989</v>
      </c>
      <c r="G152" s="13">
        <v>2127</v>
      </c>
      <c r="H152" s="13">
        <v>2157</v>
      </c>
      <c r="I152" s="13">
        <v>3376</v>
      </c>
      <c r="J152" s="13">
        <v>3591</v>
      </c>
      <c r="K152" s="13">
        <v>3003</v>
      </c>
      <c r="L152" s="14">
        <v>3359</v>
      </c>
    </row>
    <row r="153" spans="1:12">
      <c r="A153" s="12" t="s">
        <v>101</v>
      </c>
      <c r="B153" s="35">
        <v>494</v>
      </c>
      <c r="C153" s="13">
        <v>342</v>
      </c>
      <c r="D153" s="13">
        <v>638</v>
      </c>
      <c r="E153" s="13">
        <v>657</v>
      </c>
      <c r="F153" s="13">
        <v>662</v>
      </c>
      <c r="G153" s="13">
        <v>774</v>
      </c>
      <c r="H153" s="13">
        <v>863</v>
      </c>
      <c r="I153" s="13">
        <v>957</v>
      </c>
      <c r="J153" s="13">
        <v>1143</v>
      </c>
      <c r="K153" s="13">
        <v>1209</v>
      </c>
      <c r="L153" s="14">
        <v>1499</v>
      </c>
    </row>
    <row r="154" spans="1:12">
      <c r="A154" s="12" t="s">
        <v>78</v>
      </c>
      <c r="B154" s="35">
        <v>15</v>
      </c>
      <c r="C154" s="13">
        <v>66</v>
      </c>
      <c r="D154" s="13">
        <v>0</v>
      </c>
      <c r="E154" s="13">
        <v>3</v>
      </c>
      <c r="F154" s="13">
        <v>9</v>
      </c>
      <c r="G154" s="13">
        <v>1</v>
      </c>
      <c r="H154" s="13">
        <v>24</v>
      </c>
      <c r="I154" s="13">
        <v>60</v>
      </c>
      <c r="J154" s="13">
        <v>82</v>
      </c>
      <c r="K154" s="13">
        <v>4</v>
      </c>
      <c r="L154" s="14">
        <v>0</v>
      </c>
    </row>
    <row r="155" spans="1:12">
      <c r="A155" s="12" t="s">
        <v>97</v>
      </c>
      <c r="B155" s="36">
        <v>2180</v>
      </c>
      <c r="C155" s="2">
        <v>5513</v>
      </c>
      <c r="D155" s="2">
        <v>4304</v>
      </c>
      <c r="E155" s="2">
        <v>2831</v>
      </c>
      <c r="F155" s="2">
        <v>1355</v>
      </c>
      <c r="G155" s="2">
        <v>5658</v>
      </c>
      <c r="H155" s="2">
        <v>5499</v>
      </c>
      <c r="I155" s="2">
        <v>1250</v>
      </c>
      <c r="J155" s="2">
        <v>1620</v>
      </c>
      <c r="K155" s="2">
        <v>249</v>
      </c>
      <c r="L155" s="15">
        <v>238</v>
      </c>
    </row>
    <row r="156" spans="1:12">
      <c r="A156" s="12"/>
      <c r="B156" s="12"/>
      <c r="C156" s="22"/>
      <c r="D156" s="22"/>
      <c r="E156" s="22"/>
      <c r="F156" s="22"/>
      <c r="G156" s="22"/>
      <c r="H156" s="22"/>
      <c r="I156" s="22"/>
      <c r="J156" s="22"/>
      <c r="K156" s="22"/>
      <c r="L156" s="14"/>
    </row>
    <row r="157" spans="1:12">
      <c r="A157" s="12" t="s">
        <v>99</v>
      </c>
      <c r="B157" s="54">
        <v>2013</v>
      </c>
      <c r="C157" s="48">
        <v>0</v>
      </c>
      <c r="D157" s="48">
        <v>860</v>
      </c>
      <c r="E157" s="13">
        <v>475</v>
      </c>
      <c r="F157" s="22">
        <v>0</v>
      </c>
      <c r="G157" s="48">
        <v>113</v>
      </c>
      <c r="H157" s="13">
        <v>0</v>
      </c>
      <c r="I157" s="13">
        <v>1808</v>
      </c>
      <c r="J157" s="13">
        <v>1683</v>
      </c>
      <c r="K157" s="13">
        <v>1682</v>
      </c>
      <c r="L157" s="14">
        <v>1679</v>
      </c>
    </row>
    <row r="158" spans="1:12" ht="15" thickBot="1">
      <c r="A158" s="16" t="s">
        <v>100</v>
      </c>
      <c r="B158" s="38">
        <f t="shared" ref="B158:J158" si="51">B157+B144+B133+B131</f>
        <v>199302</v>
      </c>
      <c r="C158" s="4">
        <f t="shared" si="51"/>
        <v>246135</v>
      </c>
      <c r="D158" s="4">
        <f t="shared" si="51"/>
        <v>328145</v>
      </c>
      <c r="E158" s="4">
        <f t="shared" si="51"/>
        <v>382365</v>
      </c>
      <c r="F158" s="4">
        <f t="shared" si="51"/>
        <v>432024</v>
      </c>
      <c r="G158" s="4">
        <f t="shared" si="51"/>
        <v>504993</v>
      </c>
      <c r="H158" s="4">
        <f t="shared" si="51"/>
        <v>562884</v>
      </c>
      <c r="I158" s="4">
        <f t="shared" si="51"/>
        <v>663170</v>
      </c>
      <c r="J158" s="4">
        <f t="shared" si="51"/>
        <v>710009</v>
      </c>
      <c r="K158" s="4">
        <f>K157+K144+K133+K131</f>
        <v>739116</v>
      </c>
      <c r="L158" s="21">
        <f>L157+L144+L133+L131</f>
        <v>758018</v>
      </c>
    </row>
    <row r="159" spans="1:12">
      <c r="A159" s="12"/>
      <c r="B159" s="35"/>
      <c r="C159" s="22"/>
      <c r="D159" s="22"/>
      <c r="E159" s="22"/>
      <c r="F159" s="22"/>
      <c r="G159" s="22"/>
      <c r="H159" s="22"/>
      <c r="I159" s="22"/>
      <c r="J159" s="22"/>
      <c r="K159" s="13"/>
      <c r="L159" s="23"/>
    </row>
    <row r="160" spans="1:12">
      <c r="A160" s="16" t="s">
        <v>107</v>
      </c>
      <c r="B160" s="39">
        <f>(B75+B59+SUM(B62:B64))/B131</f>
        <v>-5.6010607942529121E-2</v>
      </c>
      <c r="C160" s="24">
        <f t="shared" ref="C160:K160" si="52">(C75+C59+SUM(C62:C64))/C131</f>
        <v>2.7498504742103615E-2</v>
      </c>
      <c r="D160" s="24">
        <f t="shared" si="52"/>
        <v>3.713084037176681E-2</v>
      </c>
      <c r="E160" s="24">
        <f t="shared" si="52"/>
        <v>0.11472023122508559</v>
      </c>
      <c r="F160" s="24">
        <f t="shared" si="52"/>
        <v>6.297473863605127E-2</v>
      </c>
      <c r="G160" s="24">
        <f t="shared" si="52"/>
        <v>-8.218125960061444E-2</v>
      </c>
      <c r="H160" s="24">
        <f t="shared" si="52"/>
        <v>-0.13898091568709253</v>
      </c>
      <c r="I160" s="24">
        <f t="shared" si="52"/>
        <v>-7.2732956041063432E-2</v>
      </c>
      <c r="J160" s="24">
        <f t="shared" si="52"/>
        <v>-9.8697297973195708E-2</v>
      </c>
      <c r="K160" s="24">
        <f t="shared" si="52"/>
        <v>-0.11187887469472102</v>
      </c>
      <c r="L160" s="25">
        <f t="shared" ref="L160" si="53">(L75+L59+SUM(L62:L64))/L131</f>
        <v>-0.29373456830444039</v>
      </c>
    </row>
    <row r="161" spans="1:12">
      <c r="A161" s="12"/>
      <c r="B161" s="12"/>
      <c r="C161" s="22"/>
      <c r="D161" s="22"/>
      <c r="E161" s="22"/>
      <c r="F161" s="22"/>
      <c r="G161" s="22"/>
      <c r="H161" s="22"/>
      <c r="I161" s="22"/>
      <c r="J161" s="22"/>
      <c r="K161" s="22"/>
      <c r="L161" s="23"/>
    </row>
    <row r="162" spans="1:12">
      <c r="A162" s="16" t="s">
        <v>108</v>
      </c>
      <c r="B162" s="55">
        <f>(B155+B145+B134+B135+B146-B118-B108)/(B75)</f>
        <v>13.71846701164295</v>
      </c>
      <c r="C162" s="49">
        <f t="shared" ref="C162:K162" si="54">(C155+C145+C134+C135+C146-C118-C108)/(C75)</f>
        <v>7.2545539467538536</v>
      </c>
      <c r="D162" s="49">
        <f t="shared" si="54"/>
        <v>7.4128799024759342</v>
      </c>
      <c r="E162" s="49">
        <f t="shared" si="54"/>
        <v>6.5440475788193151</v>
      </c>
      <c r="F162" s="49">
        <f t="shared" si="54"/>
        <v>11.998513606219987</v>
      </c>
      <c r="G162" s="49">
        <f t="shared" si="54"/>
        <v>13.329766987294892</v>
      </c>
      <c r="H162" s="49">
        <f t="shared" si="54"/>
        <v>14.273820491684042</v>
      </c>
      <c r="I162" s="49">
        <f t="shared" si="54"/>
        <v>9.9503174344782686</v>
      </c>
      <c r="J162" s="49">
        <f t="shared" si="54"/>
        <v>9.988999859333239</v>
      </c>
      <c r="K162" s="49">
        <f t="shared" si="54"/>
        <v>9.3678911755753784</v>
      </c>
      <c r="L162" s="50">
        <f t="shared" ref="L162" si="55">(L155+L145+L134+L135+L146-L118-L108)/(L75)</f>
        <v>15.485152806878116</v>
      </c>
    </row>
    <row r="163" spans="1:12">
      <c r="A163" s="12" t="s">
        <v>109</v>
      </c>
      <c r="B163" s="39">
        <f>(B155+B146+B145+B135+B134-B118-B108)/B131</f>
        <v>1.4239316526234516</v>
      </c>
      <c r="C163" s="24">
        <f t="shared" ref="C163:K163" si="56">(C155+C146+C145+C135+C134-C118-C108)/C131</f>
        <v>1.7694739540315001</v>
      </c>
      <c r="D163" s="24">
        <f t="shared" si="56"/>
        <v>2.0209376683207463</v>
      </c>
      <c r="E163" s="24">
        <f t="shared" si="56"/>
        <v>1.8782964608207326</v>
      </c>
      <c r="F163" s="24">
        <f t="shared" si="56"/>
        <v>1.9230339292095402</v>
      </c>
      <c r="G163" s="24">
        <f t="shared" si="56"/>
        <v>2.1634275028384424</v>
      </c>
      <c r="H163" s="24">
        <f t="shared" si="56"/>
        <v>2.4079854720361236</v>
      </c>
      <c r="I163" s="24">
        <f t="shared" si="56"/>
        <v>1.6760112310257085</v>
      </c>
      <c r="J163" s="24">
        <f t="shared" si="56"/>
        <v>2.0180457196121449</v>
      </c>
      <c r="K163" s="24">
        <f t="shared" si="56"/>
        <v>2.3489573548750706</v>
      </c>
      <c r="L163" s="25">
        <f t="shared" ref="L163" si="57">(L155+L146+L145+L135+L134-L118-L108)/L131</f>
        <v>2.7999790978091892</v>
      </c>
    </row>
    <row r="164" spans="1:12">
      <c r="A164" s="51" t="s">
        <v>110</v>
      </c>
      <c r="B164" s="56">
        <f>(B75+B59)/-(SUM(B62:B63))</f>
        <v>0.27503801868346728</v>
      </c>
      <c r="C164" s="52">
        <f t="shared" ref="C164:K164" si="58">(C75+C59)/-(SUM(C62:C63))</f>
        <v>1.2038855453489601</v>
      </c>
      <c r="D164" s="52">
        <f t="shared" si="58"/>
        <v>1.2430607651912979</v>
      </c>
      <c r="E164" s="52">
        <f t="shared" si="58"/>
        <v>1.440562833575934</v>
      </c>
      <c r="F164" s="52">
        <f t="shared" si="58"/>
        <v>0.41925777331995989</v>
      </c>
      <c r="G164" s="52">
        <f t="shared" si="58"/>
        <v>0.4325570670970717</v>
      </c>
      <c r="H164" s="52">
        <f t="shared" si="58"/>
        <v>0.27695974125457484</v>
      </c>
      <c r="I164" s="52">
        <f t="shared" si="58"/>
        <v>0.51497531541415253</v>
      </c>
      <c r="J164" s="52">
        <f t="shared" si="58"/>
        <v>0.46749463354799142</v>
      </c>
      <c r="K164" s="52">
        <f t="shared" si="58"/>
        <v>0.50675535769748425</v>
      </c>
      <c r="L164" s="53">
        <f t="shared" ref="L164" si="59">(L75+L59)/-(SUM(L62:L63))</f>
        <v>-4.835062361580604E-2</v>
      </c>
    </row>
    <row r="165" spans="1:12" ht="15" thickBot="1">
      <c r="A165" s="30"/>
      <c r="B165" s="30"/>
      <c r="C165" s="31"/>
      <c r="D165" s="31"/>
      <c r="E165" s="31"/>
      <c r="F165" s="31"/>
      <c r="G165" s="31"/>
      <c r="H165" s="31"/>
      <c r="I165" s="31"/>
      <c r="J165" s="31"/>
      <c r="K165" s="31"/>
      <c r="L165" s="32"/>
    </row>
    <row r="166" spans="1:12" ht="15" thickBot="1">
      <c r="L166" s="22"/>
    </row>
    <row r="167" spans="1:12">
      <c r="A167" s="6" t="s">
        <v>111</v>
      </c>
      <c r="B167" s="33"/>
      <c r="C167" s="7"/>
      <c r="D167" s="7"/>
      <c r="E167" s="7"/>
      <c r="F167" s="7"/>
      <c r="G167" s="7"/>
      <c r="H167" s="7"/>
      <c r="I167" s="7"/>
      <c r="J167" s="7"/>
      <c r="K167" s="7"/>
      <c r="L167" s="8"/>
    </row>
    <row r="168" spans="1:12">
      <c r="A168" s="9" t="s">
        <v>4</v>
      </c>
      <c r="B168" s="34">
        <v>2009</v>
      </c>
      <c r="C168" s="10">
        <v>2010</v>
      </c>
      <c r="D168" s="10">
        <v>2011</v>
      </c>
      <c r="E168" s="10">
        <v>2012</v>
      </c>
      <c r="F168" s="10">
        <v>2013</v>
      </c>
      <c r="G168" s="10">
        <v>2014</v>
      </c>
      <c r="H168" s="10">
        <v>2015</v>
      </c>
      <c r="I168" s="10">
        <v>2016</v>
      </c>
      <c r="J168" s="10">
        <v>2017</v>
      </c>
      <c r="K168" s="10">
        <v>2018</v>
      </c>
      <c r="L168" s="11">
        <v>2019</v>
      </c>
    </row>
    <row r="169" spans="1:12">
      <c r="A169" s="12" t="s">
        <v>36</v>
      </c>
      <c r="B169" s="35">
        <f>B66</f>
        <v>-12796</v>
      </c>
      <c r="C169" s="13">
        <f>C66</f>
        <v>5852</v>
      </c>
      <c r="D169" s="13">
        <f t="shared" ref="D169:L169" si="60">D66</f>
        <v>11649</v>
      </c>
      <c r="E169" s="13">
        <f t="shared" si="60"/>
        <v>18363</v>
      </c>
      <c r="F169" s="13">
        <f t="shared" si="60"/>
        <v>7005</v>
      </c>
      <c r="G169" s="13">
        <f t="shared" si="60"/>
        <v>9120</v>
      </c>
      <c r="H169" s="13">
        <f t="shared" si="60"/>
        <v>4977</v>
      </c>
      <c r="I169" s="13">
        <f t="shared" si="60"/>
        <v>7804</v>
      </c>
      <c r="J169" s="13">
        <f t="shared" si="60"/>
        <v>1123</v>
      </c>
      <c r="K169" s="13">
        <f t="shared" si="60"/>
        <v>-2637</v>
      </c>
      <c r="L169" s="14">
        <f t="shared" si="60"/>
        <v>-29183</v>
      </c>
    </row>
    <row r="170" spans="1:12">
      <c r="A170" s="12" t="s">
        <v>31</v>
      </c>
      <c r="B170" s="35">
        <f>-B59</f>
        <v>4918</v>
      </c>
      <c r="C170" s="13">
        <f>-C59</f>
        <v>5726</v>
      </c>
      <c r="D170" s="13">
        <f>-D59</f>
        <v>7219</v>
      </c>
      <c r="E170" s="13">
        <f>-E59-9</f>
        <v>8801</v>
      </c>
      <c r="F170" s="13">
        <f t="shared" ref="F170:L170" si="61">-F59</f>
        <v>9968</v>
      </c>
      <c r="G170" s="13">
        <v>11937</v>
      </c>
      <c r="H170" s="13">
        <f t="shared" si="61"/>
        <v>14115</v>
      </c>
      <c r="I170" s="13">
        <f t="shared" si="61"/>
        <v>16633</v>
      </c>
      <c r="J170" s="13">
        <f t="shared" si="61"/>
        <v>20300</v>
      </c>
      <c r="K170" s="13">
        <f t="shared" si="61"/>
        <v>23132</v>
      </c>
      <c r="L170" s="14">
        <f t="shared" si="61"/>
        <v>29756</v>
      </c>
    </row>
    <row r="171" spans="1:12">
      <c r="A171" s="12" t="s">
        <v>112</v>
      </c>
      <c r="B171" s="35">
        <v>14</v>
      </c>
      <c r="C171" s="13">
        <v>14</v>
      </c>
      <c r="D171" s="13">
        <v>14</v>
      </c>
      <c r="E171" s="13">
        <v>13</v>
      </c>
      <c r="F171" s="13">
        <v>13</v>
      </c>
      <c r="G171" s="13">
        <v>13</v>
      </c>
      <c r="H171" s="13">
        <v>13</v>
      </c>
      <c r="I171" s="13">
        <v>13</v>
      </c>
      <c r="J171" s="13">
        <v>16</v>
      </c>
      <c r="K171" s="13">
        <v>16</v>
      </c>
      <c r="L171" s="14">
        <v>16</v>
      </c>
    </row>
    <row r="172" spans="1:12">
      <c r="A172" s="12" t="s">
        <v>113</v>
      </c>
      <c r="B172" s="35">
        <v>999</v>
      </c>
      <c r="C172" s="13">
        <v>661</v>
      </c>
      <c r="D172" s="13">
        <v>798</v>
      </c>
      <c r="E172" s="13">
        <v>632</v>
      </c>
      <c r="F172" s="13">
        <v>1022</v>
      </c>
      <c r="G172" s="13">
        <v>1572</v>
      </c>
      <c r="H172" s="13">
        <v>3773</v>
      </c>
      <c r="I172" s="13">
        <f>1175+1903</f>
        <v>3078</v>
      </c>
      <c r="J172" s="13">
        <f>1675+119</f>
        <v>1794</v>
      </c>
      <c r="K172" s="13">
        <v>560</v>
      </c>
      <c r="L172" s="14">
        <v>-423</v>
      </c>
    </row>
    <row r="173" spans="1:12">
      <c r="A173" s="12" t="s">
        <v>114</v>
      </c>
      <c r="B173" s="35">
        <v>-34</v>
      </c>
      <c r="C173" s="13">
        <v>1</v>
      </c>
      <c r="D173" s="13">
        <v>-52</v>
      </c>
      <c r="E173" s="13">
        <v>3</v>
      </c>
      <c r="F173" s="13">
        <v>124</v>
      </c>
      <c r="G173" s="13">
        <v>179</v>
      </c>
      <c r="H173" s="13">
        <v>111</v>
      </c>
      <c r="I173" s="13">
        <v>358</v>
      </c>
      <c r="J173" s="13">
        <v>260</v>
      </c>
      <c r="K173" s="13">
        <v>148</v>
      </c>
      <c r="L173" s="14">
        <v>318</v>
      </c>
    </row>
    <row r="174" spans="1:12">
      <c r="A174" s="12" t="s">
        <v>146</v>
      </c>
      <c r="B174" s="35">
        <v>0</v>
      </c>
      <c r="C174" s="13">
        <v>0</v>
      </c>
      <c r="D174" s="13">
        <v>0</v>
      </c>
      <c r="E174" s="13">
        <v>0</v>
      </c>
      <c r="F174" s="13">
        <v>0</v>
      </c>
      <c r="G174" s="13">
        <f>3561-3012</f>
        <v>549</v>
      </c>
      <c r="H174" s="13">
        <f>2625-3191</f>
        <v>-566</v>
      </c>
      <c r="I174" s="13">
        <f>2822-1431</f>
        <v>1391</v>
      </c>
      <c r="J174" s="13">
        <f>5355-3133</f>
        <v>2222</v>
      </c>
      <c r="K174" s="13">
        <f>233-4229</f>
        <v>-3996</v>
      </c>
      <c r="L174" s="14">
        <f>1909-1884</f>
        <v>25</v>
      </c>
    </row>
    <row r="175" spans="1:12">
      <c r="A175" s="12" t="s">
        <v>148</v>
      </c>
      <c r="B175" s="35">
        <v>0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-844</v>
      </c>
      <c r="J175" s="13">
        <v>-628</v>
      </c>
      <c r="K175" s="13">
        <v>-737</v>
      </c>
      <c r="L175" s="14">
        <v>-1267</v>
      </c>
    </row>
    <row r="176" spans="1:12">
      <c r="A176" s="12" t="s">
        <v>115</v>
      </c>
      <c r="B176" s="35">
        <v>2390</v>
      </c>
      <c r="C176" s="13">
        <v>2344</v>
      </c>
      <c r="D176" s="13">
        <v>4228</v>
      </c>
      <c r="E176" s="13">
        <v>4791</v>
      </c>
      <c r="F176" s="13">
        <v>7734</v>
      </c>
      <c r="G176" s="13">
        <v>2369</v>
      </c>
      <c r="H176" s="13">
        <f>7450</f>
        <v>7450</v>
      </c>
      <c r="I176" s="13">
        <v>-893</v>
      </c>
      <c r="J176" s="13">
        <v>5707</v>
      </c>
      <c r="K176" s="13">
        <v>-2259</v>
      </c>
      <c r="L176" s="14">
        <f>-1499</f>
        <v>-1499</v>
      </c>
    </row>
    <row r="177" spans="1:12">
      <c r="A177" s="12" t="s">
        <v>101</v>
      </c>
      <c r="B177" s="35">
        <v>-84</v>
      </c>
      <c r="C177" s="13">
        <v>-110</v>
      </c>
      <c r="D177" s="13">
        <v>-108</v>
      </c>
      <c r="E177" s="13">
        <v>-123</v>
      </c>
      <c r="F177" s="13">
        <v>-133</v>
      </c>
      <c r="G177" s="13"/>
      <c r="H177" s="13">
        <v>-143</v>
      </c>
      <c r="I177" s="13">
        <v>-152</v>
      </c>
      <c r="J177" s="13">
        <v>-154</v>
      </c>
      <c r="K177" s="13">
        <v>-163</v>
      </c>
      <c r="L177" s="14">
        <v>-172</v>
      </c>
    </row>
    <row r="178" spans="1:12">
      <c r="A178" s="12" t="s">
        <v>116</v>
      </c>
      <c r="B178" s="35">
        <v>236</v>
      </c>
      <c r="C178" s="13">
        <v>296</v>
      </c>
      <c r="D178" s="13">
        <v>10</v>
      </c>
      <c r="E178" s="13">
        <v>2</v>
      </c>
      <c r="F178" s="13">
        <v>0</v>
      </c>
      <c r="G178" s="13">
        <v>-143</v>
      </c>
      <c r="H178" s="13">
        <v>0</v>
      </c>
      <c r="I178" s="13">
        <v>0</v>
      </c>
      <c r="J178" s="13">
        <v>0</v>
      </c>
      <c r="K178" s="13">
        <v>0</v>
      </c>
      <c r="L178" s="14">
        <v>0</v>
      </c>
    </row>
    <row r="179" spans="1:12">
      <c r="A179" s="12" t="s">
        <v>117</v>
      </c>
      <c r="B179" s="35">
        <f>-44+90</f>
        <v>46</v>
      </c>
      <c r="C179" s="13">
        <v>0</v>
      </c>
      <c r="D179" s="13">
        <v>4</v>
      </c>
      <c r="E179" s="13">
        <f>12-7+127</f>
        <v>132</v>
      </c>
      <c r="F179" s="13">
        <f>-16</f>
        <v>-16</v>
      </c>
      <c r="G179" s="13">
        <v>0</v>
      </c>
      <c r="H179" s="13">
        <v>14</v>
      </c>
      <c r="I179" s="13">
        <v>0</v>
      </c>
      <c r="J179" s="13">
        <v>1</v>
      </c>
      <c r="K179" s="13">
        <v>0</v>
      </c>
      <c r="L179" s="14">
        <v>-14</v>
      </c>
    </row>
    <row r="180" spans="1:12">
      <c r="A180" s="12" t="s">
        <v>34</v>
      </c>
      <c r="B180" s="35">
        <v>-3152</v>
      </c>
      <c r="C180" s="13">
        <v>-1614</v>
      </c>
      <c r="D180" s="13">
        <v>-2436</v>
      </c>
      <c r="E180" s="13">
        <v>-3526</v>
      </c>
      <c r="F180" s="13">
        <v>-2820</v>
      </c>
      <c r="G180" s="13">
        <f>-3189</f>
        <v>-3189</v>
      </c>
      <c r="H180" s="13">
        <f>-2996</f>
        <v>-2996</v>
      </c>
      <c r="I180" s="13">
        <v>-3447</v>
      </c>
      <c r="J180" s="13">
        <v>-5212</v>
      </c>
      <c r="K180" s="13">
        <v>-2872</v>
      </c>
      <c r="L180" s="14">
        <f>-2722+245</f>
        <v>-2477</v>
      </c>
    </row>
    <row r="181" spans="1:12">
      <c r="A181" s="12" t="s">
        <v>123</v>
      </c>
      <c r="B181" s="35">
        <v>4319</v>
      </c>
      <c r="C181" s="13">
        <v>2851</v>
      </c>
      <c r="D181" s="13">
        <v>7177</v>
      </c>
      <c r="E181" s="13">
        <v>7499</v>
      </c>
      <c r="F181" s="13">
        <v>-207</v>
      </c>
      <c r="G181" s="13">
        <f>7247</f>
        <v>7247</v>
      </c>
      <c r="H181" s="13">
        <v>9105</v>
      </c>
      <c r="I181" s="13">
        <v>11366</v>
      </c>
      <c r="J181" s="13">
        <v>19589</v>
      </c>
      <c r="K181" s="13">
        <v>25961</v>
      </c>
      <c r="L181" s="14">
        <f>30239-277</f>
        <v>29962</v>
      </c>
    </row>
    <row r="182" spans="1:12">
      <c r="A182" s="12" t="s">
        <v>124</v>
      </c>
      <c r="B182" s="35">
        <v>-52</v>
      </c>
      <c r="C182" s="13">
        <v>-12</v>
      </c>
      <c r="D182" s="13">
        <v>-26</v>
      </c>
      <c r="E182" s="13">
        <v>-30</v>
      </c>
      <c r="F182" s="13">
        <v>-34</v>
      </c>
      <c r="G182" s="13">
        <v>-27</v>
      </c>
      <c r="H182" s="13">
        <v>-29</v>
      </c>
      <c r="I182" s="13">
        <v>-32</v>
      </c>
      <c r="J182" s="13">
        <v>-40</v>
      </c>
      <c r="K182" s="13">
        <v>-37</v>
      </c>
      <c r="L182" s="14">
        <v>-35</v>
      </c>
    </row>
    <row r="183" spans="1:12">
      <c r="A183" s="12" t="s">
        <v>118</v>
      </c>
      <c r="B183" s="35">
        <v>11906</v>
      </c>
      <c r="C183" s="13">
        <v>3661</v>
      </c>
      <c r="D183" s="13">
        <v>3077</v>
      </c>
      <c r="E183" s="13">
        <v>2054</v>
      </c>
      <c r="F183" s="13">
        <v>7597</v>
      </c>
      <c r="G183" s="13">
        <v>-1529</v>
      </c>
      <c r="H183" s="13">
        <f>-1940</f>
        <v>-1940</v>
      </c>
      <c r="I183" s="13">
        <v>455</v>
      </c>
      <c r="J183" s="13">
        <f>1731</f>
        <v>1731</v>
      </c>
      <c r="K183" s="13">
        <f>1775</f>
        <v>1775</v>
      </c>
      <c r="L183" s="14">
        <v>3409</v>
      </c>
    </row>
    <row r="184" spans="1:12">
      <c r="A184" s="12" t="s">
        <v>119</v>
      </c>
      <c r="B184" s="35">
        <v>-1185</v>
      </c>
      <c r="C184" s="13">
        <v>-115</v>
      </c>
      <c r="D184" s="13">
        <f>-93</f>
        <v>-93</v>
      </c>
      <c r="E184" s="13">
        <f>-146</f>
        <v>-146</v>
      </c>
      <c r="F184" s="13">
        <f>-19</f>
        <v>-19</v>
      </c>
      <c r="G184" s="13">
        <v>67</v>
      </c>
      <c r="H184" s="13">
        <f>-23+1</f>
        <v>-22</v>
      </c>
      <c r="I184" s="13">
        <v>-2</v>
      </c>
      <c r="J184" s="13">
        <v>0</v>
      </c>
      <c r="K184" s="13">
        <v>0</v>
      </c>
      <c r="L184" s="14">
        <v>0</v>
      </c>
    </row>
    <row r="185" spans="1:12">
      <c r="A185" s="12" t="s">
        <v>120</v>
      </c>
      <c r="B185" s="35"/>
      <c r="C185" s="13"/>
      <c r="D185" s="13"/>
      <c r="E185" s="13"/>
      <c r="F185" s="13"/>
      <c r="G185" s="22"/>
      <c r="H185" s="13"/>
      <c r="I185" s="13"/>
      <c r="J185" s="13"/>
      <c r="K185" s="13"/>
      <c r="L185" s="14"/>
    </row>
    <row r="186" spans="1:12">
      <c r="A186" s="20" t="s">
        <v>77</v>
      </c>
      <c r="B186" s="35">
        <v>-2374</v>
      </c>
      <c r="C186" s="13">
        <v>-334</v>
      </c>
      <c r="D186" s="13">
        <v>-721</v>
      </c>
      <c r="E186" s="13">
        <v>-453</v>
      </c>
      <c r="F186" s="13">
        <v>-2260</v>
      </c>
      <c r="G186" s="13">
        <v>544</v>
      </c>
      <c r="H186" s="13">
        <v>894</v>
      </c>
      <c r="I186" s="13">
        <v>-500</v>
      </c>
      <c r="J186" s="13">
        <v>-1140</v>
      </c>
      <c r="K186" s="13">
        <v>747</v>
      </c>
      <c r="L186" s="14">
        <v>-496</v>
      </c>
    </row>
    <row r="187" spans="1:12">
      <c r="A187" s="20" t="s">
        <v>79</v>
      </c>
      <c r="B187" s="35">
        <v>-3804</v>
      </c>
      <c r="C187" s="13">
        <v>-1762</v>
      </c>
      <c r="D187" s="13">
        <v>-2871</v>
      </c>
      <c r="E187" s="13">
        <v>-3937</v>
      </c>
      <c r="F187" s="13">
        <v>-1387</v>
      </c>
      <c r="G187" s="13">
        <f>-2669</f>
        <v>-2669</v>
      </c>
      <c r="H187" s="13">
        <v>-5468</v>
      </c>
      <c r="I187" s="13">
        <v>-4269</v>
      </c>
      <c r="J187" s="13">
        <v>1696</v>
      </c>
      <c r="K187" s="13">
        <v>-944</v>
      </c>
      <c r="L187" s="14">
        <v>-1437</v>
      </c>
    </row>
    <row r="188" spans="1:12">
      <c r="A188" s="20" t="s">
        <v>71</v>
      </c>
      <c r="B188" s="35">
        <v>0</v>
      </c>
      <c r="C188" s="13">
        <v>2</v>
      </c>
      <c r="D188" s="13">
        <v>643</v>
      </c>
      <c r="E188" s="13">
        <v>9</v>
      </c>
      <c r="F188" s="13">
        <v>-44</v>
      </c>
      <c r="G188" s="13">
        <v>-459</v>
      </c>
      <c r="H188" s="13">
        <v>77</v>
      </c>
      <c r="I188" s="13">
        <v>134</v>
      </c>
      <c r="J188" s="13">
        <v>-18</v>
      </c>
      <c r="K188" s="13">
        <v>12</v>
      </c>
      <c r="L188" s="14">
        <v>25</v>
      </c>
    </row>
    <row r="189" spans="1:12">
      <c r="A189" s="20" t="s">
        <v>74</v>
      </c>
      <c r="B189" s="35">
        <v>-1911</v>
      </c>
      <c r="C189" s="13">
        <v>1898</v>
      </c>
      <c r="D189" s="13">
        <f>296-3512</f>
        <v>-3216</v>
      </c>
      <c r="E189" s="13">
        <f>208-2115</f>
        <v>-1907</v>
      </c>
      <c r="F189" s="13">
        <f>269-2892</f>
        <v>-2623</v>
      </c>
      <c r="G189" s="13">
        <f>658-857-2088</f>
        <v>-2287</v>
      </c>
      <c r="H189" s="13">
        <f>533-913-966</f>
        <v>-1346</v>
      </c>
      <c r="I189" s="13">
        <f>432-3093-274</f>
        <v>-2935</v>
      </c>
      <c r="J189" s="13">
        <f>516-661-99</f>
        <v>-244</v>
      </c>
      <c r="K189" s="13">
        <f>380-345-40</f>
        <v>-5</v>
      </c>
      <c r="L189" s="14">
        <f>-137+330-9-1179</f>
        <v>-995</v>
      </c>
    </row>
    <row r="190" spans="1:12">
      <c r="A190" s="20" t="s">
        <v>102</v>
      </c>
      <c r="B190" s="35">
        <v>6248</v>
      </c>
      <c r="C190" s="13">
        <v>245</v>
      </c>
      <c r="D190" s="13">
        <v>3322</v>
      </c>
      <c r="E190" s="13">
        <v>5708</v>
      </c>
      <c r="F190" s="13">
        <v>5182</v>
      </c>
      <c r="G190" s="13">
        <f>-2441</f>
        <v>-2441</v>
      </c>
      <c r="H190" s="13">
        <v>-2642</v>
      </c>
      <c r="I190" s="13">
        <v>3853</v>
      </c>
      <c r="J190" s="13">
        <v>-759</v>
      </c>
      <c r="K190" s="13">
        <v>-46</v>
      </c>
      <c r="L190" s="14">
        <v>4088</v>
      </c>
    </row>
    <row r="191" spans="1:12">
      <c r="A191" s="20" t="s">
        <v>121</v>
      </c>
      <c r="B191" s="35">
        <v>-1386</v>
      </c>
      <c r="C191" s="13">
        <v>-1881</v>
      </c>
      <c r="D191" s="13">
        <v>-2108</v>
      </c>
      <c r="E191" s="13">
        <v>-2435</v>
      </c>
      <c r="F191" s="13">
        <v>-3220</v>
      </c>
      <c r="G191" s="13">
        <f>-3146-1349</f>
        <v>-4495</v>
      </c>
      <c r="H191" s="13">
        <f>-2008-1670</f>
        <v>-3678</v>
      </c>
      <c r="I191" s="13">
        <f>-984-3054</f>
        <v>-4038</v>
      </c>
      <c r="J191" s="13">
        <f>-1949-6890</f>
        <v>-8839</v>
      </c>
      <c r="K191" s="13">
        <f>-1637-4788</f>
        <v>-6425</v>
      </c>
      <c r="L191" s="14">
        <f>-1150-1707</f>
        <v>-2857</v>
      </c>
    </row>
    <row r="192" spans="1:12">
      <c r="A192" s="20" t="s">
        <v>96</v>
      </c>
      <c r="B192" s="35">
        <v>857</v>
      </c>
      <c r="C192" s="13">
        <v>693</v>
      </c>
      <c r="D192" s="13">
        <f>-819+2954</f>
        <v>2135</v>
      </c>
      <c r="E192" s="13">
        <f>-228+3574</f>
        <v>3346</v>
      </c>
      <c r="F192" s="13">
        <f>-843+3793</f>
        <v>2950</v>
      </c>
      <c r="G192" s="13">
        <f>-1478+4065</f>
        <v>2587</v>
      </c>
      <c r="H192" s="13">
        <f>-1175+4460</f>
        <v>3285</v>
      </c>
      <c r="I192" s="13">
        <f>-582+4223</f>
        <v>3641</v>
      </c>
      <c r="J192" s="13">
        <f>-1267+4216</f>
        <v>2949</v>
      </c>
      <c r="K192" s="13">
        <f>-1393+4006</f>
        <v>2613</v>
      </c>
      <c r="L192" s="15">
        <f>4709-1098</f>
        <v>3611</v>
      </c>
    </row>
    <row r="193" spans="1:12">
      <c r="A193" s="63" t="s">
        <v>122</v>
      </c>
      <c r="B193" s="37">
        <f>SUM(B169:B192)</f>
        <v>5155</v>
      </c>
      <c r="C193" s="3">
        <f t="shared" ref="C193:L193" si="62">SUM(C169:C192)</f>
        <v>18416</v>
      </c>
      <c r="D193" s="3">
        <f t="shared" si="62"/>
        <v>28645</v>
      </c>
      <c r="E193" s="3">
        <f t="shared" si="62"/>
        <v>38796</v>
      </c>
      <c r="F193" s="3">
        <f t="shared" si="62"/>
        <v>28832</v>
      </c>
      <c r="G193" s="3">
        <f t="shared" si="62"/>
        <v>18945</v>
      </c>
      <c r="H193" s="3">
        <f t="shared" si="62"/>
        <v>24984</v>
      </c>
      <c r="I193" s="3">
        <f t="shared" si="62"/>
        <v>31614</v>
      </c>
      <c r="J193" s="3">
        <f t="shared" si="62"/>
        <v>40354</v>
      </c>
      <c r="K193" s="3">
        <f t="shared" si="62"/>
        <v>34843</v>
      </c>
      <c r="L193" s="18">
        <f t="shared" si="62"/>
        <v>30355</v>
      </c>
    </row>
    <row r="194" spans="1:12">
      <c r="A194" s="67" t="s">
        <v>125</v>
      </c>
      <c r="B194" s="35">
        <f>1616-2330</f>
        <v>-714</v>
      </c>
      <c r="C194" s="13">
        <f>-4908+3040</f>
        <v>-1868</v>
      </c>
      <c r="D194" s="13">
        <f>2925-1456</f>
        <v>1469</v>
      </c>
      <c r="E194" s="13">
        <f>-1353+1612</f>
        <v>259</v>
      </c>
      <c r="F194" s="13">
        <f>1701-2317</f>
        <v>-616</v>
      </c>
      <c r="G194" s="13">
        <f>-221-1250+4383</f>
        <v>2912</v>
      </c>
      <c r="H194" s="13">
        <f>-20-2534+241</f>
        <v>-2313</v>
      </c>
      <c r="I194" s="13">
        <f>-24+2544-4257</f>
        <v>-1737</v>
      </c>
      <c r="J194" s="13">
        <f>-24+889+482</f>
        <v>1347</v>
      </c>
      <c r="K194" s="13">
        <f>-35+1459-1241</f>
        <v>183</v>
      </c>
      <c r="L194" s="14">
        <f>10-29</f>
        <v>-19</v>
      </c>
    </row>
    <row r="195" spans="1:12">
      <c r="A195" s="67" t="s">
        <v>72</v>
      </c>
      <c r="B195" s="35">
        <v>7607</v>
      </c>
      <c r="C195" s="13">
        <v>-4726</v>
      </c>
      <c r="D195" s="13">
        <v>-7212</v>
      </c>
      <c r="E195" s="13">
        <v>-280</v>
      </c>
      <c r="F195" s="13">
        <v>-331</v>
      </c>
      <c r="G195" s="13">
        <f>676+2747+7751</f>
        <v>11174</v>
      </c>
      <c r="H195" s="13">
        <f>-751+253-1982</f>
        <v>-2480</v>
      </c>
      <c r="I195" s="13">
        <f>643+771+11847</f>
        <v>13261</v>
      </c>
      <c r="J195" s="13">
        <f>-1787+389-7738</f>
        <v>-9136</v>
      </c>
      <c r="K195" s="13">
        <f>-1726-91-1824</f>
        <v>-3641</v>
      </c>
      <c r="L195" s="14">
        <f>-172-166+1219</f>
        <v>881</v>
      </c>
    </row>
    <row r="196" spans="1:12">
      <c r="A196" s="12" t="s">
        <v>119</v>
      </c>
      <c r="B196" s="35">
        <v>0</v>
      </c>
      <c r="C196" s="13">
        <v>34</v>
      </c>
      <c r="D196" s="13">
        <f>-4+43-73</f>
        <v>-34</v>
      </c>
      <c r="E196" s="13">
        <f>42+20</f>
        <v>62</v>
      </c>
      <c r="F196" s="13">
        <f>125</f>
        <v>125</v>
      </c>
      <c r="G196" s="13">
        <f>7-125</f>
        <v>-118</v>
      </c>
      <c r="H196" s="13">
        <v>0</v>
      </c>
      <c r="I196" s="13">
        <v>-84</v>
      </c>
      <c r="J196" s="13">
        <v>-41</v>
      </c>
      <c r="K196" s="13">
        <v>-211</v>
      </c>
      <c r="L196" s="14"/>
    </row>
    <row r="197" spans="1:12">
      <c r="A197" s="12" t="s">
        <v>78</v>
      </c>
      <c r="B197" s="36">
        <v>-284</v>
      </c>
      <c r="C197" s="2">
        <v>-210</v>
      </c>
      <c r="D197" s="2">
        <v>-151</v>
      </c>
      <c r="E197" s="2">
        <v>-161</v>
      </c>
      <c r="F197" s="2">
        <v>-216</v>
      </c>
      <c r="G197" s="2">
        <v>-184</v>
      </c>
      <c r="H197" s="2">
        <f>-153</f>
        <v>-153</v>
      </c>
      <c r="I197" s="2">
        <v>-520</v>
      </c>
      <c r="J197" s="2">
        <f>-1053-49</f>
        <v>-1102</v>
      </c>
      <c r="K197" s="2">
        <f>-724-69</f>
        <v>-793</v>
      </c>
      <c r="L197" s="15">
        <f>-313-69</f>
        <v>-382</v>
      </c>
    </row>
    <row r="198" spans="1:12">
      <c r="A198" s="16" t="s">
        <v>126</v>
      </c>
      <c r="B198" s="35">
        <f>SUM(B193:B197)</f>
        <v>11764</v>
      </c>
      <c r="C198" s="13">
        <f t="shared" ref="C198:L198" si="63">SUM(C193:C197)</f>
        <v>11646</v>
      </c>
      <c r="D198" s="13">
        <f t="shared" si="63"/>
        <v>22717</v>
      </c>
      <c r="E198" s="13">
        <f t="shared" si="63"/>
        <v>38676</v>
      </c>
      <c r="F198" s="13">
        <f t="shared" si="63"/>
        <v>27794</v>
      </c>
      <c r="G198" s="13">
        <f t="shared" si="63"/>
        <v>32729</v>
      </c>
      <c r="H198" s="13">
        <f t="shared" si="63"/>
        <v>20038</v>
      </c>
      <c r="I198" s="13">
        <f t="shared" si="63"/>
        <v>42534</v>
      </c>
      <c r="J198" s="13">
        <f t="shared" si="63"/>
        <v>31422</v>
      </c>
      <c r="K198" s="13">
        <f t="shared" si="63"/>
        <v>30381</v>
      </c>
      <c r="L198" s="14">
        <f t="shared" si="63"/>
        <v>30835</v>
      </c>
    </row>
    <row r="199" spans="1:12">
      <c r="A199" s="12" t="s">
        <v>127</v>
      </c>
      <c r="B199" s="35">
        <f>124-43151</f>
        <v>-43027</v>
      </c>
      <c r="C199" s="13">
        <f>118-47466</f>
        <v>-47348</v>
      </c>
      <c r="D199" s="13">
        <f>135-43975</f>
        <v>-43840</v>
      </c>
      <c r="E199" s="13">
        <f>351-56920</f>
        <v>-56569</v>
      </c>
      <c r="F199" s="13">
        <f>36-53494</f>
        <v>-53458</v>
      </c>
      <c r="G199" s="13">
        <f>28-52137</f>
        <v>-52109</v>
      </c>
      <c r="H199" s="13">
        <f>139-51578</f>
        <v>-51439</v>
      </c>
      <c r="I199" s="13">
        <f>360-53248</f>
        <v>-52888</v>
      </c>
      <c r="J199" s="13">
        <f>398-55823</f>
        <v>-55425</v>
      </c>
      <c r="K199" s="13">
        <f>453-49076</f>
        <v>-48623</v>
      </c>
      <c r="L199" s="14">
        <f>566-34087</f>
        <v>-33521</v>
      </c>
    </row>
    <row r="200" spans="1:12">
      <c r="A200" s="12" t="s">
        <v>128</v>
      </c>
      <c r="B200" s="35">
        <f>-481</f>
        <v>-481</v>
      </c>
      <c r="C200" s="13">
        <f>23-698</f>
        <v>-675</v>
      </c>
      <c r="D200" s="13">
        <v>-350</v>
      </c>
      <c r="E200" s="13">
        <v>-524</v>
      </c>
      <c r="F200" s="13">
        <v>-1887</v>
      </c>
      <c r="G200" s="13">
        <v>-1023</v>
      </c>
      <c r="H200" s="13">
        <f>19-846</f>
        <v>-827</v>
      </c>
      <c r="I200" s="13">
        <v>-927</v>
      </c>
      <c r="J200" s="13">
        <v>-1436</v>
      </c>
      <c r="K200" s="13">
        <v>-425</v>
      </c>
      <c r="L200" s="14">
        <v>-443</v>
      </c>
    </row>
    <row r="201" spans="1:12">
      <c r="A201" s="12" t="s">
        <v>129</v>
      </c>
      <c r="B201" s="35">
        <f>101+17</f>
        <v>118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4">
        <v>0</v>
      </c>
    </row>
    <row r="202" spans="1:12">
      <c r="A202" s="12" t="s">
        <v>130</v>
      </c>
      <c r="B202" s="35">
        <v>-1523</v>
      </c>
      <c r="C202" s="13">
        <v>-1168</v>
      </c>
      <c r="D202" s="13">
        <v>-1079</v>
      </c>
      <c r="E202" s="13">
        <v>-2043</v>
      </c>
      <c r="F202" s="13">
        <v>-2533</v>
      </c>
      <c r="G202" s="13">
        <v>-2675</v>
      </c>
      <c r="H202" s="13">
        <v>-1999</v>
      </c>
      <c r="I202" s="13">
        <v>-1754</v>
      </c>
      <c r="J202" s="13">
        <v>-639</v>
      </c>
      <c r="K202" s="13">
        <v>-1618</v>
      </c>
      <c r="L202" s="14">
        <v>-548</v>
      </c>
    </row>
    <row r="203" spans="1:12">
      <c r="A203" s="12" t="s">
        <v>101</v>
      </c>
      <c r="B203" s="35">
        <v>1173</v>
      </c>
      <c r="C203" s="13">
        <v>1737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4">
        <v>0</v>
      </c>
    </row>
    <row r="204" spans="1:12">
      <c r="A204" s="12" t="s">
        <v>131</v>
      </c>
      <c r="B204" s="12">
        <v>157</v>
      </c>
      <c r="C204" s="13">
        <v>163</v>
      </c>
      <c r="D204" s="22">
        <f>-509</f>
        <v>-509</v>
      </c>
      <c r="E204" s="22">
        <f>188</f>
        <v>188</v>
      </c>
      <c r="F204" s="13">
        <v>-136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4">
        <v>0</v>
      </c>
    </row>
    <row r="205" spans="1:12">
      <c r="A205" s="12" t="s">
        <v>132</v>
      </c>
      <c r="B205" s="35">
        <v>0</v>
      </c>
      <c r="C205" s="13">
        <v>-1343</v>
      </c>
      <c r="D205" s="13">
        <v>-1469</v>
      </c>
      <c r="E205" s="13">
        <v>-1477</v>
      </c>
      <c r="F205" s="13">
        <v>-990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4">
        <v>0</v>
      </c>
    </row>
    <row r="206" spans="1:12">
      <c r="A206" s="12" t="s">
        <v>73</v>
      </c>
      <c r="B206" s="35">
        <v>-122</v>
      </c>
      <c r="C206" s="13">
        <v>2</v>
      </c>
      <c r="D206" s="13">
        <v>-20</v>
      </c>
      <c r="E206" s="13">
        <v>39</v>
      </c>
      <c r="F206" s="13">
        <v>37</v>
      </c>
      <c r="G206" s="13">
        <v>17</v>
      </c>
      <c r="H206" s="13">
        <v>20</v>
      </c>
      <c r="I206" s="13">
        <v>23</v>
      </c>
      <c r="J206" s="13">
        <v>44</v>
      </c>
      <c r="K206" s="13">
        <v>19</v>
      </c>
      <c r="L206" s="14">
        <v>29</v>
      </c>
    </row>
    <row r="207" spans="1:12">
      <c r="A207" s="12" t="s">
        <v>133</v>
      </c>
      <c r="B207" s="35">
        <f>-84-201</f>
        <v>-285</v>
      </c>
      <c r="C207" s="22">
        <f>-224+76+166+24+65</f>
        <v>107</v>
      </c>
      <c r="D207" s="13">
        <v>-10</v>
      </c>
      <c r="E207" s="13">
        <v>0</v>
      </c>
      <c r="F207" s="13">
        <v>46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4">
        <v>-67</v>
      </c>
    </row>
    <row r="208" spans="1:12">
      <c r="A208" s="12" t="s">
        <v>134</v>
      </c>
      <c r="B208" s="35">
        <v>52</v>
      </c>
      <c r="C208" s="13">
        <v>12</v>
      </c>
      <c r="D208" s="13">
        <v>26</v>
      </c>
      <c r="E208" s="13">
        <v>30</v>
      </c>
      <c r="F208" s="13">
        <v>34</v>
      </c>
      <c r="G208" s="13">
        <f>27+21</f>
        <v>48</v>
      </c>
      <c r="H208" s="22">
        <f>29+19</f>
        <v>48</v>
      </c>
      <c r="I208" s="22">
        <f>32+31</f>
        <v>63</v>
      </c>
      <c r="J208" s="13">
        <f>71</f>
        <v>71</v>
      </c>
      <c r="K208" s="13">
        <f>37+26</f>
        <v>63</v>
      </c>
      <c r="L208" s="14">
        <f>49+34</f>
        <v>83</v>
      </c>
    </row>
    <row r="209" spans="1:12">
      <c r="A209" s="12" t="s">
        <v>135</v>
      </c>
      <c r="B209" s="36">
        <v>792</v>
      </c>
      <c r="C209" s="2">
        <v>-332</v>
      </c>
      <c r="D209" s="47">
        <v>793</v>
      </c>
      <c r="E209" s="47">
        <v>343</v>
      </c>
      <c r="F209" s="47">
        <v>479</v>
      </c>
      <c r="G209" s="47">
        <v>0</v>
      </c>
      <c r="H209" s="47">
        <v>0</v>
      </c>
      <c r="I209" s="47">
        <v>0</v>
      </c>
      <c r="J209" s="2">
        <v>0</v>
      </c>
      <c r="K209" s="2">
        <v>0</v>
      </c>
      <c r="L209" s="15">
        <v>0</v>
      </c>
    </row>
    <row r="210" spans="1:12">
      <c r="A210" s="12"/>
      <c r="B210" s="35">
        <f>SUM(B198:B209)</f>
        <v>-31382</v>
      </c>
      <c r="C210" s="13">
        <f t="shared" ref="C210:L210" si="64">SUM(C198:C209)</f>
        <v>-37199</v>
      </c>
      <c r="D210" s="13">
        <f t="shared" si="64"/>
        <v>-23741</v>
      </c>
      <c r="E210" s="13">
        <f t="shared" si="64"/>
        <v>-21337</v>
      </c>
      <c r="F210" s="13">
        <f t="shared" si="64"/>
        <v>-30614</v>
      </c>
      <c r="G210" s="13">
        <f t="shared" si="64"/>
        <v>-23013</v>
      </c>
      <c r="H210" s="13">
        <f t="shared" si="64"/>
        <v>-34159</v>
      </c>
      <c r="I210" s="13">
        <f t="shared" si="64"/>
        <v>-12949</v>
      </c>
      <c r="J210" s="13">
        <f t="shared" si="64"/>
        <v>-25963</v>
      </c>
      <c r="K210" s="13">
        <f t="shared" si="64"/>
        <v>-20203</v>
      </c>
      <c r="L210" s="14">
        <f t="shared" si="64"/>
        <v>-3632</v>
      </c>
    </row>
    <row r="211" spans="1:12">
      <c r="A211" s="12" t="s">
        <v>136</v>
      </c>
      <c r="B211" s="35">
        <f>53959-23492</f>
        <v>30467</v>
      </c>
      <c r="C211" s="13">
        <f>60107-20351</f>
        <v>39756</v>
      </c>
      <c r="D211" s="13">
        <f>69191-9189</f>
        <v>60002</v>
      </c>
      <c r="E211" s="13">
        <f>22308-5769</f>
        <v>16539</v>
      </c>
      <c r="F211" s="13">
        <f>31120-7149</f>
        <v>23971</v>
      </c>
      <c r="G211" s="13">
        <f>44142-521-8014</f>
        <v>35607</v>
      </c>
      <c r="H211" s="13">
        <f>49500-187-14429</f>
        <v>34884</v>
      </c>
      <c r="I211" s="13">
        <f>41052-555-11123</f>
        <v>29374</v>
      </c>
      <c r="J211" s="13">
        <f>50994-1096-7034</f>
        <v>42864</v>
      </c>
      <c r="K211" s="13">
        <f>53234-929-12548</f>
        <v>39757</v>
      </c>
      <c r="L211" s="14">
        <f>58914-34455</f>
        <v>24459</v>
      </c>
    </row>
    <row r="212" spans="1:12">
      <c r="A212" s="12" t="s">
        <v>137</v>
      </c>
      <c r="B212" s="35">
        <v>7366</v>
      </c>
      <c r="C212" s="13">
        <v>2806</v>
      </c>
      <c r="D212" s="13">
        <v>-33693</v>
      </c>
      <c r="E212" s="13">
        <v>17497</v>
      </c>
      <c r="F212" s="13">
        <v>5047</v>
      </c>
      <c r="G212" s="13">
        <f>-310+6058</f>
        <v>5748</v>
      </c>
      <c r="H212" s="13">
        <f>-946+3071</f>
        <v>2125</v>
      </c>
      <c r="I212" s="13">
        <f>-1862+92</f>
        <v>-1770</v>
      </c>
      <c r="J212" s="13">
        <f>520-2031</f>
        <v>-1511</v>
      </c>
      <c r="K212" s="13">
        <f>-1457+6586</f>
        <v>5129</v>
      </c>
      <c r="L212" s="14">
        <f>-1356</f>
        <v>-1356</v>
      </c>
    </row>
    <row r="213" spans="1:12">
      <c r="A213" s="12" t="s">
        <v>149</v>
      </c>
      <c r="B213" s="35">
        <v>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23000</v>
      </c>
      <c r="J213" s="13">
        <v>0</v>
      </c>
      <c r="K213" s="13">
        <v>0</v>
      </c>
      <c r="L213" s="14">
        <v>0</v>
      </c>
    </row>
    <row r="214" spans="1:12">
      <c r="A214" s="12" t="s">
        <v>138</v>
      </c>
      <c r="B214" s="35">
        <v>-27</v>
      </c>
      <c r="C214" s="13">
        <v>40</v>
      </c>
      <c r="D214" s="13">
        <v>-17</v>
      </c>
      <c r="E214" s="13">
        <v>-46</v>
      </c>
      <c r="F214" s="13">
        <v>-31</v>
      </c>
      <c r="G214" s="13">
        <v>-11</v>
      </c>
      <c r="H214" s="13">
        <v>-111</v>
      </c>
      <c r="I214" s="13">
        <v>-157</v>
      </c>
      <c r="J214" s="13">
        <v>-139</v>
      </c>
      <c r="K214" s="13">
        <v>-246</v>
      </c>
      <c r="L214" s="14">
        <v>-357</v>
      </c>
    </row>
    <row r="215" spans="1:12">
      <c r="A215" s="12" t="s">
        <v>139</v>
      </c>
      <c r="B215" s="35">
        <v>1817</v>
      </c>
      <c r="C215" s="13">
        <v>-4179</v>
      </c>
      <c r="D215" s="13">
        <v>-89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4">
        <v>0</v>
      </c>
    </row>
    <row r="216" spans="1:12">
      <c r="A216" s="12" t="s">
        <v>140</v>
      </c>
      <c r="B216" s="35">
        <v>3117</v>
      </c>
      <c r="C216" s="13">
        <v>1512</v>
      </c>
      <c r="D216" s="13">
        <v>2353</v>
      </c>
      <c r="E216" s="13">
        <v>3211</v>
      </c>
      <c r="F216" s="13">
        <v>2765</v>
      </c>
      <c r="G216" s="13">
        <f>445+954+2083</f>
        <v>3482</v>
      </c>
      <c r="H216" s="13">
        <f>697+1068+1449</f>
        <v>3214</v>
      </c>
      <c r="I216" s="13">
        <f>2322+1202+1275</f>
        <v>4799</v>
      </c>
      <c r="J216" s="13">
        <f>1342+1221+2365</f>
        <v>4928</v>
      </c>
      <c r="K216" s="13">
        <f>393+1486+1034</f>
        <v>2913</v>
      </c>
      <c r="L216" s="14">
        <f>1411+858</f>
        <v>2269</v>
      </c>
    </row>
    <row r="217" spans="1:12">
      <c r="A217" s="12" t="s">
        <v>141</v>
      </c>
      <c r="B217" s="35">
        <v>-3869</v>
      </c>
      <c r="C217" s="13">
        <v>-5577</v>
      </c>
      <c r="D217" s="13">
        <v>-8269</v>
      </c>
      <c r="E217" s="13">
        <v>-8501</v>
      </c>
      <c r="F217" s="13">
        <v>-9968</v>
      </c>
      <c r="G217" s="13">
        <f>-136-13102</f>
        <v>-13238</v>
      </c>
      <c r="H217" s="13">
        <f>-10-17064</f>
        <v>-17074</v>
      </c>
      <c r="I217" s="13">
        <f>-11-22791</f>
        <v>-22802</v>
      </c>
      <c r="J217" s="13">
        <f>-22-28788</f>
        <v>-28810</v>
      </c>
      <c r="K217" s="13">
        <f>-28-31909</f>
        <v>-31937</v>
      </c>
      <c r="L217" s="15">
        <f>-35845</f>
        <v>-35845</v>
      </c>
    </row>
    <row r="218" spans="1:12">
      <c r="A218" s="16" t="s">
        <v>142</v>
      </c>
      <c r="B218" s="37">
        <f>SUM(B210:B217)</f>
        <v>7489</v>
      </c>
      <c r="C218" s="3">
        <f t="shared" ref="C218:L218" si="65">SUM(C210:C217)</f>
        <v>-2841</v>
      </c>
      <c r="D218" s="3">
        <f t="shared" si="65"/>
        <v>-3454</v>
      </c>
      <c r="E218" s="3">
        <f t="shared" si="65"/>
        <v>7363</v>
      </c>
      <c r="F218" s="3">
        <f t="shared" si="65"/>
        <v>-8830</v>
      </c>
      <c r="G218" s="3">
        <f t="shared" si="65"/>
        <v>8575</v>
      </c>
      <c r="H218" s="3">
        <f t="shared" si="65"/>
        <v>-11121</v>
      </c>
      <c r="I218" s="3">
        <f t="shared" si="65"/>
        <v>19495</v>
      </c>
      <c r="J218" s="3">
        <f t="shared" si="65"/>
        <v>-8631</v>
      </c>
      <c r="K218" s="3">
        <f t="shared" si="65"/>
        <v>-4587</v>
      </c>
      <c r="L218" s="18">
        <f t="shared" si="65"/>
        <v>-14462</v>
      </c>
    </row>
    <row r="219" spans="1:12">
      <c r="A219" s="51" t="s">
        <v>147</v>
      </c>
      <c r="B219" s="35">
        <v>0</v>
      </c>
      <c r="C219" s="13">
        <v>0</v>
      </c>
      <c r="D219" s="13">
        <v>0</v>
      </c>
      <c r="E219" s="13">
        <v>0</v>
      </c>
      <c r="F219" s="13">
        <v>0</v>
      </c>
      <c r="G219" s="13">
        <f>-23+504</f>
        <v>481</v>
      </c>
      <c r="H219" s="13">
        <f>24+284</f>
        <v>308</v>
      </c>
      <c r="I219" s="13">
        <f>21+75</f>
        <v>96</v>
      </c>
      <c r="J219" s="13">
        <f>647-45</f>
        <v>602</v>
      </c>
      <c r="K219" s="13">
        <f>10-25</f>
        <v>-15</v>
      </c>
      <c r="L219" s="14">
        <f>50+620</f>
        <v>670</v>
      </c>
    </row>
    <row r="220" spans="1:12">
      <c r="A220" s="12" t="s">
        <v>143</v>
      </c>
      <c r="B220" s="54">
        <v>10893</v>
      </c>
      <c r="C220" s="13">
        <f>B221</f>
        <v>18382</v>
      </c>
      <c r="D220" s="13">
        <f t="shared" ref="D220:K220" si="66">C221</f>
        <v>15541</v>
      </c>
      <c r="E220" s="13">
        <f t="shared" si="66"/>
        <v>12087</v>
      </c>
      <c r="F220" s="13">
        <f t="shared" si="66"/>
        <v>19450</v>
      </c>
      <c r="G220" s="13">
        <f t="shared" si="66"/>
        <v>10620</v>
      </c>
      <c r="H220" s="13">
        <f t="shared" si="66"/>
        <v>19676</v>
      </c>
      <c r="I220" s="13">
        <f t="shared" si="66"/>
        <v>8863</v>
      </c>
      <c r="J220" s="13">
        <f t="shared" si="66"/>
        <v>28454</v>
      </c>
      <c r="K220" s="13">
        <f t="shared" si="66"/>
        <v>20425</v>
      </c>
      <c r="L220" s="14">
        <f>K221</f>
        <v>15823</v>
      </c>
    </row>
    <row r="221" spans="1:12" ht="15" thickBot="1">
      <c r="A221" s="16" t="s">
        <v>144</v>
      </c>
      <c r="B221" s="38">
        <f>SUM(B218:B220)</f>
        <v>18382</v>
      </c>
      <c r="C221" s="4">
        <f>SUM(C218:C220)</f>
        <v>15541</v>
      </c>
      <c r="D221" s="4">
        <f t="shared" ref="D221:L221" si="67">SUM(D218:D220)</f>
        <v>12087</v>
      </c>
      <c r="E221" s="4">
        <f t="shared" si="67"/>
        <v>19450</v>
      </c>
      <c r="F221" s="4">
        <f t="shared" si="67"/>
        <v>10620</v>
      </c>
      <c r="G221" s="4">
        <f t="shared" si="67"/>
        <v>19676</v>
      </c>
      <c r="H221" s="4">
        <f t="shared" si="67"/>
        <v>8863</v>
      </c>
      <c r="I221" s="4">
        <f t="shared" si="67"/>
        <v>28454</v>
      </c>
      <c r="J221" s="4">
        <f t="shared" si="67"/>
        <v>20425</v>
      </c>
      <c r="K221" s="4">
        <f t="shared" si="67"/>
        <v>15823</v>
      </c>
      <c r="L221" s="21">
        <f t="shared" si="67"/>
        <v>2031</v>
      </c>
    </row>
    <row r="222" spans="1:12">
      <c r="A222" s="12"/>
      <c r="B222" s="12"/>
      <c r="C222" s="22"/>
      <c r="D222" s="22"/>
      <c r="E222" s="22"/>
      <c r="F222" s="22"/>
      <c r="G222" s="22"/>
      <c r="H222" s="22"/>
      <c r="I222" s="22"/>
      <c r="J222" s="13"/>
      <c r="K222" s="13"/>
      <c r="L222" s="14"/>
    </row>
    <row r="223" spans="1:12">
      <c r="A223" s="62" t="s">
        <v>145</v>
      </c>
      <c r="B223" s="82">
        <f>B221-B126</f>
        <v>0</v>
      </c>
      <c r="C223" s="80">
        <f t="shared" ref="C223:L223" si="68">C221-C126</f>
        <v>0</v>
      </c>
      <c r="D223" s="80">
        <f t="shared" si="68"/>
        <v>0</v>
      </c>
      <c r="E223" s="80">
        <f t="shared" si="68"/>
        <v>0</v>
      </c>
      <c r="F223" s="80">
        <f t="shared" si="68"/>
        <v>0</v>
      </c>
      <c r="G223" s="80">
        <f t="shared" si="68"/>
        <v>0</v>
      </c>
      <c r="H223" s="80">
        <f t="shared" si="68"/>
        <v>0</v>
      </c>
      <c r="I223" s="80">
        <f t="shared" si="68"/>
        <v>0</v>
      </c>
      <c r="J223" s="80">
        <f t="shared" si="68"/>
        <v>0</v>
      </c>
      <c r="K223" s="80">
        <f t="shared" si="68"/>
        <v>0</v>
      </c>
      <c r="L223" s="81">
        <f t="shared" si="68"/>
        <v>0</v>
      </c>
    </row>
    <row r="224" spans="1:12">
      <c r="A224" s="12"/>
      <c r="B224" s="12"/>
      <c r="C224" s="22"/>
      <c r="D224" s="22"/>
      <c r="E224" s="22"/>
      <c r="F224" s="22"/>
      <c r="G224" s="22"/>
      <c r="H224" s="22"/>
      <c r="I224" s="22"/>
      <c r="J224" s="13"/>
      <c r="K224" s="13"/>
      <c r="L224" s="14"/>
    </row>
    <row r="225" spans="1:12">
      <c r="A225" s="12" t="s">
        <v>150</v>
      </c>
      <c r="B225" s="35">
        <f>B218</f>
        <v>7489</v>
      </c>
      <c r="C225" s="13">
        <f t="shared" ref="C225:K225" si="69">C218</f>
        <v>-2841</v>
      </c>
      <c r="D225" s="13">
        <f t="shared" si="69"/>
        <v>-3454</v>
      </c>
      <c r="E225" s="13">
        <f t="shared" si="69"/>
        <v>7363</v>
      </c>
      <c r="F225" s="13">
        <f t="shared" si="69"/>
        <v>-8830</v>
      </c>
      <c r="G225" s="13">
        <f t="shared" si="69"/>
        <v>8575</v>
      </c>
      <c r="H225" s="13">
        <f t="shared" si="69"/>
        <v>-11121</v>
      </c>
      <c r="I225" s="13">
        <f t="shared" si="69"/>
        <v>19495</v>
      </c>
      <c r="J225" s="13">
        <f t="shared" si="69"/>
        <v>-8631</v>
      </c>
      <c r="K225" s="13">
        <f t="shared" si="69"/>
        <v>-4587</v>
      </c>
      <c r="L225" s="14">
        <f t="shared" ref="L225" si="70">L218</f>
        <v>-14462</v>
      </c>
    </row>
    <row r="226" spans="1:12">
      <c r="A226" s="20" t="s">
        <v>136</v>
      </c>
      <c r="B226" s="35">
        <f>-B211</f>
        <v>-30467</v>
      </c>
      <c r="C226" s="13">
        <f t="shared" ref="C226:K226" si="71">-C211</f>
        <v>-39756</v>
      </c>
      <c r="D226" s="13">
        <f t="shared" si="71"/>
        <v>-60002</v>
      </c>
      <c r="E226" s="13">
        <f t="shared" si="71"/>
        <v>-16539</v>
      </c>
      <c r="F226" s="13">
        <f t="shared" si="71"/>
        <v>-23971</v>
      </c>
      <c r="G226" s="13">
        <f t="shared" si="71"/>
        <v>-35607</v>
      </c>
      <c r="H226" s="13">
        <f t="shared" si="71"/>
        <v>-34884</v>
      </c>
      <c r="I226" s="13">
        <f t="shared" si="71"/>
        <v>-29374</v>
      </c>
      <c r="J226" s="13">
        <f t="shared" si="71"/>
        <v>-42864</v>
      </c>
      <c r="K226" s="13">
        <f t="shared" si="71"/>
        <v>-39757</v>
      </c>
      <c r="L226" s="14">
        <f t="shared" ref="L226" si="72">-L211</f>
        <v>-24459</v>
      </c>
    </row>
    <row r="227" spans="1:12">
      <c r="A227" s="20" t="s">
        <v>137</v>
      </c>
      <c r="B227" s="35">
        <f t="shared" ref="B227:K232" si="73">-B212</f>
        <v>-7366</v>
      </c>
      <c r="C227" s="13">
        <f t="shared" si="73"/>
        <v>-2806</v>
      </c>
      <c r="D227" s="13">
        <f t="shared" si="73"/>
        <v>33693</v>
      </c>
      <c r="E227" s="13">
        <f t="shared" si="73"/>
        <v>-17497</v>
      </c>
      <c r="F227" s="13">
        <f t="shared" si="73"/>
        <v>-5047</v>
      </c>
      <c r="G227" s="13">
        <f t="shared" si="73"/>
        <v>-5748</v>
      </c>
      <c r="H227" s="13">
        <f t="shared" si="73"/>
        <v>-2125</v>
      </c>
      <c r="I227" s="13">
        <f t="shared" si="73"/>
        <v>1770</v>
      </c>
      <c r="J227" s="13">
        <f t="shared" si="73"/>
        <v>1511</v>
      </c>
      <c r="K227" s="13">
        <f t="shared" si="73"/>
        <v>-5129</v>
      </c>
      <c r="L227" s="14">
        <f t="shared" ref="L227" si="74">-L212</f>
        <v>1356</v>
      </c>
    </row>
    <row r="228" spans="1:12">
      <c r="A228" s="20" t="s">
        <v>149</v>
      </c>
      <c r="B228" s="35">
        <f t="shared" si="73"/>
        <v>0</v>
      </c>
      <c r="C228" s="13">
        <f t="shared" si="73"/>
        <v>0</v>
      </c>
      <c r="D228" s="13">
        <f t="shared" si="73"/>
        <v>0</v>
      </c>
      <c r="E228" s="13">
        <f t="shared" si="73"/>
        <v>0</v>
      </c>
      <c r="F228" s="13">
        <f t="shared" si="73"/>
        <v>0</v>
      </c>
      <c r="G228" s="13">
        <f t="shared" si="73"/>
        <v>0</v>
      </c>
      <c r="H228" s="13">
        <f t="shared" si="73"/>
        <v>0</v>
      </c>
      <c r="I228" s="13">
        <f t="shared" si="73"/>
        <v>-23000</v>
      </c>
      <c r="J228" s="13">
        <f t="shared" si="73"/>
        <v>0</v>
      </c>
      <c r="K228" s="13">
        <f t="shared" si="73"/>
        <v>0</v>
      </c>
      <c r="L228" s="14">
        <f t="shared" ref="L228" si="75">-L213</f>
        <v>0</v>
      </c>
    </row>
    <row r="229" spans="1:12">
      <c r="A229" s="20" t="s">
        <v>138</v>
      </c>
      <c r="B229" s="35">
        <f t="shared" si="73"/>
        <v>27</v>
      </c>
      <c r="C229" s="13">
        <f t="shared" si="73"/>
        <v>-40</v>
      </c>
      <c r="D229" s="13">
        <f t="shared" si="73"/>
        <v>17</v>
      </c>
      <c r="E229" s="13">
        <f t="shared" si="73"/>
        <v>46</v>
      </c>
      <c r="F229" s="13">
        <f t="shared" si="73"/>
        <v>31</v>
      </c>
      <c r="G229" s="13">
        <f t="shared" si="73"/>
        <v>11</v>
      </c>
      <c r="H229" s="13">
        <f t="shared" si="73"/>
        <v>111</v>
      </c>
      <c r="I229" s="13">
        <f t="shared" si="73"/>
        <v>157</v>
      </c>
      <c r="J229" s="13">
        <f t="shared" si="73"/>
        <v>139</v>
      </c>
      <c r="K229" s="13">
        <f t="shared" si="73"/>
        <v>246</v>
      </c>
      <c r="L229" s="14">
        <f t="shared" ref="L229" si="76">-L214</f>
        <v>357</v>
      </c>
    </row>
    <row r="230" spans="1:12">
      <c r="A230" s="20" t="s">
        <v>139</v>
      </c>
      <c r="B230" s="35">
        <f t="shared" si="73"/>
        <v>-1817</v>
      </c>
      <c r="C230" s="13">
        <f t="shared" si="73"/>
        <v>4179</v>
      </c>
      <c r="D230" s="13">
        <f t="shared" si="73"/>
        <v>89</v>
      </c>
      <c r="E230" s="13">
        <f t="shared" si="73"/>
        <v>0</v>
      </c>
      <c r="F230" s="13">
        <f t="shared" si="73"/>
        <v>0</v>
      </c>
      <c r="G230" s="13">
        <f t="shared" si="73"/>
        <v>0</v>
      </c>
      <c r="H230" s="13">
        <f t="shared" si="73"/>
        <v>0</v>
      </c>
      <c r="I230" s="13">
        <f t="shared" si="73"/>
        <v>0</v>
      </c>
      <c r="J230" s="13">
        <f t="shared" si="73"/>
        <v>0</v>
      </c>
      <c r="K230" s="13">
        <f t="shared" si="73"/>
        <v>0</v>
      </c>
      <c r="L230" s="14">
        <f t="shared" ref="L230" si="77">-L215</f>
        <v>0</v>
      </c>
    </row>
    <row r="231" spans="1:12">
      <c r="A231" s="20" t="s">
        <v>140</v>
      </c>
      <c r="B231" s="35">
        <f t="shared" si="73"/>
        <v>-3117</v>
      </c>
      <c r="C231" s="13">
        <f t="shared" si="73"/>
        <v>-1512</v>
      </c>
      <c r="D231" s="13">
        <f t="shared" si="73"/>
        <v>-2353</v>
      </c>
      <c r="E231" s="13">
        <f t="shared" si="73"/>
        <v>-3211</v>
      </c>
      <c r="F231" s="13">
        <f t="shared" si="73"/>
        <v>-2765</v>
      </c>
      <c r="G231" s="13">
        <f t="shared" si="73"/>
        <v>-3482</v>
      </c>
      <c r="H231" s="13">
        <f t="shared" si="73"/>
        <v>-3214</v>
      </c>
      <c r="I231" s="13">
        <f t="shared" si="73"/>
        <v>-4799</v>
      </c>
      <c r="J231" s="13">
        <f t="shared" si="73"/>
        <v>-4928</v>
      </c>
      <c r="K231" s="13">
        <f t="shared" si="73"/>
        <v>-2913</v>
      </c>
      <c r="L231" s="14">
        <f t="shared" ref="L231" si="78">-L216</f>
        <v>-2269</v>
      </c>
    </row>
    <row r="232" spans="1:12">
      <c r="A232" s="20" t="s">
        <v>141</v>
      </c>
      <c r="B232" s="35">
        <f t="shared" si="73"/>
        <v>3869</v>
      </c>
      <c r="C232" s="13">
        <f t="shared" si="73"/>
        <v>5577</v>
      </c>
      <c r="D232" s="13">
        <f t="shared" si="73"/>
        <v>8269</v>
      </c>
      <c r="E232" s="13">
        <f t="shared" si="73"/>
        <v>8501</v>
      </c>
      <c r="F232" s="13">
        <f t="shared" si="73"/>
        <v>9968</v>
      </c>
      <c r="G232" s="13">
        <f t="shared" si="73"/>
        <v>13238</v>
      </c>
      <c r="H232" s="13">
        <f t="shared" si="73"/>
        <v>17074</v>
      </c>
      <c r="I232" s="13">
        <f t="shared" si="73"/>
        <v>22802</v>
      </c>
      <c r="J232" s="13">
        <f t="shared" si="73"/>
        <v>28810</v>
      </c>
      <c r="K232" s="13">
        <f t="shared" si="73"/>
        <v>31937</v>
      </c>
      <c r="L232" s="14">
        <f t="shared" ref="L232" si="79">-L217</f>
        <v>35845</v>
      </c>
    </row>
    <row r="233" spans="1:12">
      <c r="A233" s="20" t="s">
        <v>134</v>
      </c>
      <c r="B233" s="35">
        <f>-B208</f>
        <v>-52</v>
      </c>
      <c r="C233" s="13">
        <f t="shared" ref="C233:K233" si="80">-C208</f>
        <v>-12</v>
      </c>
      <c r="D233" s="13">
        <f t="shared" si="80"/>
        <v>-26</v>
      </c>
      <c r="E233" s="13">
        <f t="shared" si="80"/>
        <v>-30</v>
      </c>
      <c r="F233" s="13">
        <f t="shared" si="80"/>
        <v>-34</v>
      </c>
      <c r="G233" s="13">
        <f t="shared" si="80"/>
        <v>-48</v>
      </c>
      <c r="H233" s="13">
        <f t="shared" si="80"/>
        <v>-48</v>
      </c>
      <c r="I233" s="13">
        <f t="shared" si="80"/>
        <v>-63</v>
      </c>
      <c r="J233" s="13">
        <f t="shared" si="80"/>
        <v>-71</v>
      </c>
      <c r="K233" s="13">
        <f t="shared" si="80"/>
        <v>-63</v>
      </c>
      <c r="L233" s="14">
        <f t="shared" ref="L233" si="81">-L208</f>
        <v>-83</v>
      </c>
    </row>
    <row r="234" spans="1:12" ht="15" thickBot="1">
      <c r="A234" s="63" t="s">
        <v>151</v>
      </c>
      <c r="B234" s="38">
        <f>SUM(B225:B233)</f>
        <v>-31434</v>
      </c>
      <c r="C234" s="4">
        <f t="shared" ref="C234:K234" si="82">SUM(C225:C233)</f>
        <v>-37211</v>
      </c>
      <c r="D234" s="4">
        <f t="shared" si="82"/>
        <v>-23767</v>
      </c>
      <c r="E234" s="4">
        <f t="shared" si="82"/>
        <v>-21367</v>
      </c>
      <c r="F234" s="4">
        <f t="shared" si="82"/>
        <v>-30648</v>
      </c>
      <c r="G234" s="4">
        <f t="shared" si="82"/>
        <v>-23061</v>
      </c>
      <c r="H234" s="4">
        <f t="shared" si="82"/>
        <v>-34207</v>
      </c>
      <c r="I234" s="4">
        <f t="shared" si="82"/>
        <v>-13012</v>
      </c>
      <c r="J234" s="4">
        <f t="shared" si="82"/>
        <v>-26034</v>
      </c>
      <c r="K234" s="4">
        <f t="shared" si="82"/>
        <v>-20266</v>
      </c>
      <c r="L234" s="21">
        <f t="shared" ref="L234" si="83">SUM(L225:L233)</f>
        <v>-3715</v>
      </c>
    </row>
    <row r="235" spans="1:12">
      <c r="A235" s="12"/>
      <c r="B235" s="12"/>
      <c r="C235" s="22"/>
      <c r="D235" s="22"/>
      <c r="E235" s="22"/>
      <c r="F235" s="22"/>
      <c r="G235" s="22"/>
      <c r="H235" s="22"/>
      <c r="I235" s="22"/>
      <c r="J235" s="22"/>
      <c r="K235" s="22"/>
      <c r="L235" s="23"/>
    </row>
    <row r="236" spans="1:12">
      <c r="A236" s="63" t="s">
        <v>152</v>
      </c>
      <c r="B236" s="35">
        <f>B218-B211-B212-B213</f>
        <v>-30344</v>
      </c>
      <c r="C236" s="13">
        <f t="shared" ref="C236:K236" si="84">C218-C211-C212-C213</f>
        <v>-45403</v>
      </c>
      <c r="D236" s="13">
        <f t="shared" si="84"/>
        <v>-29763</v>
      </c>
      <c r="E236" s="13">
        <f t="shared" si="84"/>
        <v>-26673</v>
      </c>
      <c r="F236" s="13">
        <f t="shared" si="84"/>
        <v>-37848</v>
      </c>
      <c r="G236" s="13">
        <f t="shared" si="84"/>
        <v>-32780</v>
      </c>
      <c r="H236" s="13">
        <f t="shared" si="84"/>
        <v>-48130</v>
      </c>
      <c r="I236" s="13">
        <f t="shared" si="84"/>
        <v>-31109</v>
      </c>
      <c r="J236" s="13">
        <f t="shared" si="84"/>
        <v>-49984</v>
      </c>
      <c r="K236" s="13">
        <f t="shared" si="84"/>
        <v>-49473</v>
      </c>
      <c r="L236" s="14">
        <f t="shared" ref="L236" si="85">L218-L211-L212-L213</f>
        <v>-37565</v>
      </c>
    </row>
    <row r="237" spans="1:12" ht="15" thickBot="1">
      <c r="A237" s="30"/>
      <c r="B237" s="30"/>
      <c r="C237" s="31"/>
      <c r="D237" s="31"/>
      <c r="E237" s="31"/>
      <c r="F237" s="31"/>
      <c r="G237" s="31"/>
      <c r="H237" s="31"/>
      <c r="I237" s="31"/>
      <c r="J237" s="31"/>
      <c r="K237" s="31"/>
      <c r="L237" s="32"/>
    </row>
    <row r="238" spans="1:12" ht="15" thickBot="1"/>
    <row r="239" spans="1:12">
      <c r="A239" s="6" t="s">
        <v>156</v>
      </c>
      <c r="B239" s="33"/>
      <c r="C239" s="7"/>
      <c r="D239" s="7"/>
      <c r="E239" s="7"/>
      <c r="F239" s="7"/>
      <c r="G239" s="7"/>
      <c r="H239" s="7"/>
      <c r="I239" s="7"/>
      <c r="J239" s="7"/>
      <c r="K239" s="7"/>
      <c r="L239" s="8"/>
    </row>
    <row r="240" spans="1:12">
      <c r="A240" s="9" t="s">
        <v>4</v>
      </c>
      <c r="B240" s="34">
        <v>2009</v>
      </c>
      <c r="C240" s="10">
        <v>2010</v>
      </c>
      <c r="D240" s="10">
        <v>2011</v>
      </c>
      <c r="E240" s="10">
        <v>2012</v>
      </c>
      <c r="F240" s="10">
        <v>2013</v>
      </c>
      <c r="G240" s="10">
        <v>2014</v>
      </c>
      <c r="H240" s="10">
        <v>2015</v>
      </c>
      <c r="I240" s="10">
        <v>2016</v>
      </c>
      <c r="J240" s="10">
        <v>2017</v>
      </c>
      <c r="K240" s="10">
        <v>2018</v>
      </c>
      <c r="L240" s="11">
        <v>2019</v>
      </c>
    </row>
    <row r="241" spans="1:12">
      <c r="A241" s="1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3"/>
    </row>
    <row r="242" spans="1:12">
      <c r="A242" s="12" t="s">
        <v>14</v>
      </c>
      <c r="B242" s="13">
        <f>B46</f>
        <v>54177</v>
      </c>
      <c r="C242" s="13">
        <f t="shared" ref="C242:L242" si="86">C46</f>
        <v>71209</v>
      </c>
      <c r="D242" s="13">
        <f t="shared" si="86"/>
        <v>91447</v>
      </c>
      <c r="E242" s="13">
        <f t="shared" si="86"/>
        <v>114847</v>
      </c>
      <c r="F242" s="13">
        <f t="shared" si="86"/>
        <v>128869</v>
      </c>
      <c r="G242" s="13">
        <f t="shared" si="86"/>
        <v>138313</v>
      </c>
      <c r="H242" s="13">
        <f t="shared" si="86"/>
        <v>147691</v>
      </c>
      <c r="I242" s="13">
        <f t="shared" si="86"/>
        <v>164239</v>
      </c>
      <c r="J242" s="13">
        <f t="shared" si="86"/>
        <v>177136</v>
      </c>
      <c r="K242" s="13">
        <f t="shared" si="86"/>
        <v>177424</v>
      </c>
      <c r="L242" s="14">
        <f t="shared" si="86"/>
        <v>179892</v>
      </c>
    </row>
    <row r="243" spans="1:12">
      <c r="A243" s="51" t="s">
        <v>17</v>
      </c>
      <c r="B243" s="13">
        <f>B48</f>
        <v>-24884</v>
      </c>
      <c r="C243" s="13">
        <f t="shared" ref="C243:L243" si="87">C48</f>
        <v>-29100</v>
      </c>
      <c r="D243" s="13">
        <f t="shared" si="87"/>
        <v>-35795</v>
      </c>
      <c r="E243" s="13">
        <f t="shared" si="87"/>
        <v>-46314</v>
      </c>
      <c r="F243" s="13">
        <f t="shared" si="87"/>
        <v>-60748</v>
      </c>
      <c r="G243" s="13">
        <f t="shared" si="87"/>
        <v>-69812</v>
      </c>
      <c r="H243" s="13">
        <f t="shared" si="87"/>
        <v>-83425</v>
      </c>
      <c r="I243" s="13">
        <f t="shared" si="87"/>
        <v>-84728</v>
      </c>
      <c r="J243" s="13">
        <f t="shared" si="87"/>
        <v>-82760</v>
      </c>
      <c r="K243" s="13">
        <f t="shared" si="87"/>
        <v>-85202</v>
      </c>
      <c r="L243" s="14">
        <f t="shared" si="87"/>
        <v>-99488</v>
      </c>
    </row>
    <row r="244" spans="1:12" ht="15" thickBot="1">
      <c r="A244" s="89" t="s">
        <v>157</v>
      </c>
      <c r="B244" s="4">
        <f>SUM(B242:B243)</f>
        <v>29293</v>
      </c>
      <c r="C244" s="4">
        <f t="shared" ref="C244:L244" si="88">SUM(C242:C243)</f>
        <v>42109</v>
      </c>
      <c r="D244" s="4">
        <f t="shared" si="88"/>
        <v>55652</v>
      </c>
      <c r="E244" s="4">
        <f t="shared" si="88"/>
        <v>68533</v>
      </c>
      <c r="F244" s="4">
        <f t="shared" si="88"/>
        <v>68121</v>
      </c>
      <c r="G244" s="4">
        <f t="shared" si="88"/>
        <v>68501</v>
      </c>
      <c r="H244" s="4">
        <f t="shared" si="88"/>
        <v>64266</v>
      </c>
      <c r="I244" s="4">
        <f t="shared" si="88"/>
        <v>79511</v>
      </c>
      <c r="J244" s="4">
        <f t="shared" si="88"/>
        <v>94376</v>
      </c>
      <c r="K244" s="4">
        <f t="shared" si="88"/>
        <v>92222</v>
      </c>
      <c r="L244" s="21">
        <f t="shared" si="88"/>
        <v>80404</v>
      </c>
    </row>
    <row r="245" spans="1:12">
      <c r="A245" s="1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3"/>
    </row>
    <row r="246" spans="1:12">
      <c r="A246" s="12" t="s">
        <v>158</v>
      </c>
      <c r="B246" s="84">
        <f>B244/B242</f>
        <v>0.54069069900511291</v>
      </c>
      <c r="C246" s="84">
        <f t="shared" ref="C246:L246" si="89">C244/C242</f>
        <v>0.59134379081295907</v>
      </c>
      <c r="D246" s="84">
        <f t="shared" si="89"/>
        <v>0.60857108489070166</v>
      </c>
      <c r="E246" s="84">
        <f t="shared" si="89"/>
        <v>0.59673304483356115</v>
      </c>
      <c r="F246" s="84">
        <f t="shared" si="89"/>
        <v>0.52860656946201179</v>
      </c>
      <c r="G246" s="84">
        <f t="shared" si="89"/>
        <v>0.49526074917036</v>
      </c>
      <c r="H246" s="84">
        <f t="shared" si="89"/>
        <v>0.43513822778639188</v>
      </c>
      <c r="I246" s="84">
        <f t="shared" si="89"/>
        <v>0.48411765780356675</v>
      </c>
      <c r="J246" s="84">
        <f t="shared" si="89"/>
        <v>0.53278836600126456</v>
      </c>
      <c r="K246" s="84">
        <f t="shared" si="89"/>
        <v>0.51978311840562719</v>
      </c>
      <c r="L246" s="90">
        <f t="shared" si="89"/>
        <v>0.44695706312676498</v>
      </c>
    </row>
    <row r="247" spans="1:12">
      <c r="A247" s="1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3"/>
    </row>
    <row r="248" spans="1:12">
      <c r="A248" s="12" t="s">
        <v>159</v>
      </c>
      <c r="B248" s="13">
        <f>SUM(B53:B57)</f>
        <v>-24708</v>
      </c>
      <c r="C248" s="13">
        <f t="shared" ref="C248:L248" si="90">SUM(C53:C57)</f>
        <v>-26190</v>
      </c>
      <c r="D248" s="13">
        <f t="shared" si="90"/>
        <v>-29553</v>
      </c>
      <c r="E248" s="13">
        <f t="shared" si="90"/>
        <v>-36062</v>
      </c>
      <c r="F248" s="13">
        <f t="shared" si="90"/>
        <v>-47733</v>
      </c>
      <c r="G248" s="13">
        <f t="shared" si="90"/>
        <v>-46356</v>
      </c>
      <c r="H248" s="13">
        <f t="shared" si="90"/>
        <v>-45449</v>
      </c>
      <c r="I248" s="13">
        <f t="shared" si="90"/>
        <v>-49090</v>
      </c>
      <c r="J248" s="13">
        <f t="shared" si="90"/>
        <v>-58417</v>
      </c>
      <c r="K248" s="13">
        <f t="shared" si="90"/>
        <v>-48235</v>
      </c>
      <c r="L248" s="14">
        <f t="shared" si="90"/>
        <v>-51055</v>
      </c>
    </row>
    <row r="249" spans="1:12">
      <c r="A249" s="12" t="s">
        <v>160</v>
      </c>
      <c r="B249" s="13">
        <f>-B54</f>
        <v>0</v>
      </c>
      <c r="C249" s="13">
        <f t="shared" ref="C249:L249" si="91">-C54</f>
        <v>0</v>
      </c>
      <c r="D249" s="13">
        <f t="shared" si="91"/>
        <v>-3685</v>
      </c>
      <c r="E249" s="13">
        <f t="shared" si="91"/>
        <v>-4230</v>
      </c>
      <c r="F249" s="13">
        <f t="shared" si="91"/>
        <v>-5062</v>
      </c>
      <c r="G249" s="13">
        <f t="shared" si="91"/>
        <v>-5702</v>
      </c>
      <c r="H249" s="13">
        <f t="shared" si="91"/>
        <v>-6404</v>
      </c>
      <c r="I249" s="13">
        <f t="shared" si="91"/>
        <v>-3266</v>
      </c>
      <c r="J249" s="13">
        <f t="shared" si="91"/>
        <v>-3655</v>
      </c>
      <c r="K249" s="13">
        <f t="shared" si="91"/>
        <v>-3201</v>
      </c>
      <c r="L249" s="14">
        <f t="shared" si="91"/>
        <v>-3386</v>
      </c>
    </row>
    <row r="250" spans="1:12">
      <c r="A250" s="12" t="s">
        <v>29</v>
      </c>
      <c r="B250" s="13">
        <f>-B57</f>
        <v>989</v>
      </c>
      <c r="C250" s="13">
        <f t="shared" ref="C250:L250" si="92">-C57</f>
        <v>652</v>
      </c>
      <c r="D250" s="13">
        <f t="shared" si="92"/>
        <v>788</v>
      </c>
      <c r="E250" s="13">
        <f t="shared" si="92"/>
        <v>640</v>
      </c>
      <c r="F250" s="13">
        <f t="shared" si="92"/>
        <v>1011</v>
      </c>
      <c r="G250" s="13">
        <f t="shared" si="92"/>
        <v>1557</v>
      </c>
      <c r="H250" s="13">
        <f t="shared" si="92"/>
        <v>3766</v>
      </c>
      <c r="I250" s="13">
        <f t="shared" si="92"/>
        <v>1170</v>
      </c>
      <c r="J250" s="13">
        <f t="shared" si="92"/>
        <v>1669</v>
      </c>
      <c r="K250" s="13">
        <f t="shared" si="92"/>
        <v>553</v>
      </c>
      <c r="L250" s="14">
        <f t="shared" si="92"/>
        <v>-431</v>
      </c>
    </row>
    <row r="251" spans="1:12">
      <c r="A251" s="91" t="s">
        <v>13</v>
      </c>
      <c r="B251" s="13">
        <f>B47</f>
        <v>610</v>
      </c>
      <c r="C251" s="13">
        <f t="shared" ref="C251:L251" si="93">C47</f>
        <v>557</v>
      </c>
      <c r="D251" s="13">
        <f t="shared" si="93"/>
        <v>587</v>
      </c>
      <c r="E251" s="13">
        <f t="shared" si="93"/>
        <v>712</v>
      </c>
      <c r="F251" s="13">
        <f t="shared" si="93"/>
        <v>1155</v>
      </c>
      <c r="G251" s="13">
        <f t="shared" si="93"/>
        <v>1441</v>
      </c>
      <c r="H251" s="13">
        <f t="shared" si="93"/>
        <v>4444</v>
      </c>
      <c r="I251" s="13">
        <f t="shared" si="93"/>
        <v>2390</v>
      </c>
      <c r="J251" s="13">
        <f t="shared" si="93"/>
        <v>1572</v>
      </c>
      <c r="K251" s="13">
        <f t="shared" si="93"/>
        <v>1372</v>
      </c>
      <c r="L251" s="14">
        <f t="shared" si="93"/>
        <v>2150</v>
      </c>
    </row>
    <row r="252" spans="1:12">
      <c r="A252" s="91" t="s">
        <v>31</v>
      </c>
      <c r="B252" s="13">
        <f>B59</f>
        <v>-4918</v>
      </c>
      <c r="C252" s="13">
        <f t="shared" ref="C252:K252" si="94">C59</f>
        <v>-5726</v>
      </c>
      <c r="D252" s="13">
        <f t="shared" si="94"/>
        <v>-7219</v>
      </c>
      <c r="E252" s="13">
        <f t="shared" si="94"/>
        <v>-8810</v>
      </c>
      <c r="F252" s="13">
        <f t="shared" si="94"/>
        <v>-9968</v>
      </c>
      <c r="G252" s="13">
        <f t="shared" si="94"/>
        <v>-11937</v>
      </c>
      <c r="H252" s="13">
        <f t="shared" si="94"/>
        <v>-14115</v>
      </c>
      <c r="I252" s="13">
        <f t="shared" si="94"/>
        <v>-16633</v>
      </c>
      <c r="J252" s="13">
        <f t="shared" si="94"/>
        <v>-20300</v>
      </c>
      <c r="K252" s="13">
        <f t="shared" si="94"/>
        <v>-23132</v>
      </c>
      <c r="L252" s="14">
        <f t="shared" ref="L252" si="95">L59</f>
        <v>-29756</v>
      </c>
    </row>
    <row r="253" spans="1:12">
      <c r="A253" s="91" t="s">
        <v>163</v>
      </c>
      <c r="B253" s="13">
        <f>B62+B63</f>
        <v>-4603</v>
      </c>
      <c r="C253" s="13">
        <f t="shared" ref="C253:K253" si="96">C62+C63</f>
        <v>-9471</v>
      </c>
      <c r="D253" s="13">
        <f t="shared" si="96"/>
        <v>-13330</v>
      </c>
      <c r="E253" s="13">
        <f t="shared" si="96"/>
        <v>-14427</v>
      </c>
      <c r="F253" s="13">
        <f t="shared" si="96"/>
        <v>-17946</v>
      </c>
      <c r="G253" s="13">
        <f t="shared" si="96"/>
        <v>-17348</v>
      </c>
      <c r="H253" s="13">
        <f t="shared" si="96"/>
        <v>-23498</v>
      </c>
      <c r="I253" s="13">
        <f t="shared" si="96"/>
        <v>-27345</v>
      </c>
      <c r="J253" s="13">
        <f t="shared" si="96"/>
        <v>-32610</v>
      </c>
      <c r="K253" s="13">
        <f t="shared" si="96"/>
        <v>-38636</v>
      </c>
      <c r="L253" s="14">
        <f t="shared" ref="L253" si="97">L62+L63</f>
        <v>-42895</v>
      </c>
    </row>
    <row r="254" spans="1:12" ht="15" thickBot="1">
      <c r="A254" s="91" t="s">
        <v>161</v>
      </c>
      <c r="B254" s="4">
        <f>SUM(B248:B253)</f>
        <v>-32630</v>
      </c>
      <c r="C254" s="4">
        <f t="shared" ref="C254:L254" si="98">SUM(C248:C253)</f>
        <v>-40178</v>
      </c>
      <c r="D254" s="4">
        <f t="shared" si="98"/>
        <v>-52412</v>
      </c>
      <c r="E254" s="4">
        <f t="shared" si="98"/>
        <v>-62177</v>
      </c>
      <c r="F254" s="4">
        <f t="shared" si="98"/>
        <v>-78543</v>
      </c>
      <c r="G254" s="4">
        <f t="shared" si="98"/>
        <v>-78345</v>
      </c>
      <c r="H254" s="4">
        <f t="shared" si="98"/>
        <v>-81256</v>
      </c>
      <c r="I254" s="4">
        <f t="shared" si="98"/>
        <v>-92774</v>
      </c>
      <c r="J254" s="4">
        <f t="shared" si="98"/>
        <v>-111741</v>
      </c>
      <c r="K254" s="4">
        <f t="shared" si="98"/>
        <v>-111279</v>
      </c>
      <c r="L254" s="21">
        <f t="shared" si="98"/>
        <v>-125373</v>
      </c>
    </row>
    <row r="255" spans="1:12">
      <c r="A255" s="1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3"/>
    </row>
    <row r="256" spans="1:12">
      <c r="A256" s="12" t="s">
        <v>162</v>
      </c>
      <c r="B256" s="13">
        <f>-B254/B246</f>
        <v>60348.735534086634</v>
      </c>
      <c r="C256" s="13">
        <f t="shared" ref="C256:L256" si="99">-C254/C246</f>
        <v>67943.55605689995</v>
      </c>
      <c r="D256" s="13">
        <f t="shared" si="99"/>
        <v>86123.053331416668</v>
      </c>
      <c r="E256" s="13">
        <f t="shared" si="99"/>
        <v>104195.67097602616</v>
      </c>
      <c r="F256" s="13">
        <f t="shared" si="99"/>
        <v>148584.9865239794</v>
      </c>
      <c r="G256" s="13">
        <f t="shared" si="99"/>
        <v>158189.39847593466</v>
      </c>
      <c r="H256" s="13">
        <f t="shared" si="99"/>
        <v>186736.06410854883</v>
      </c>
      <c r="I256" s="13">
        <f t="shared" si="99"/>
        <v>191635.23268478576</v>
      </c>
      <c r="J256" s="13">
        <f t="shared" si="99"/>
        <v>209728.67864711367</v>
      </c>
      <c r="K256" s="13">
        <f t="shared" si="99"/>
        <v>214087.36848040597</v>
      </c>
      <c r="L256" s="14">
        <f t="shared" si="99"/>
        <v>280503.4540072633</v>
      </c>
    </row>
    <row r="257" spans="1:12">
      <c r="A257" s="12" t="s">
        <v>168</v>
      </c>
      <c r="B257" s="13">
        <f>B242-B256</f>
        <v>-6171.7355340866343</v>
      </c>
      <c r="C257" s="13">
        <f t="shared" ref="C257:L257" si="100">C242-C256</f>
        <v>3265.4439431000501</v>
      </c>
      <c r="D257" s="13">
        <f t="shared" si="100"/>
        <v>5323.9466685833322</v>
      </c>
      <c r="E257" s="13">
        <f t="shared" si="100"/>
        <v>10651.329023973842</v>
      </c>
      <c r="F257" s="13">
        <f t="shared" si="100"/>
        <v>-19715.986523979402</v>
      </c>
      <c r="G257" s="13">
        <f t="shared" si="100"/>
        <v>-19876.398475934664</v>
      </c>
      <c r="H257" s="13">
        <f t="shared" si="100"/>
        <v>-39045.064108548831</v>
      </c>
      <c r="I257" s="13">
        <f t="shared" si="100"/>
        <v>-27396.232684785762</v>
      </c>
      <c r="J257" s="13">
        <f t="shared" si="100"/>
        <v>-32592.678647113673</v>
      </c>
      <c r="K257" s="13">
        <f t="shared" si="100"/>
        <v>-36663.368480405974</v>
      </c>
      <c r="L257" s="14">
        <f t="shared" si="100"/>
        <v>-100611.4540072633</v>
      </c>
    </row>
    <row r="258" spans="1:12">
      <c r="A258" s="1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3"/>
    </row>
    <row r="259" spans="1:12">
      <c r="A259" s="12" t="s">
        <v>164</v>
      </c>
      <c r="B259" s="13">
        <f>B244+B254</f>
        <v>-3337</v>
      </c>
      <c r="C259" s="13">
        <f t="shared" ref="C259:L259" si="101">C244+C254</f>
        <v>1931</v>
      </c>
      <c r="D259" s="13">
        <f t="shared" si="101"/>
        <v>3240</v>
      </c>
      <c r="E259" s="13">
        <f t="shared" si="101"/>
        <v>6356</v>
      </c>
      <c r="F259" s="13">
        <f t="shared" si="101"/>
        <v>-10422</v>
      </c>
      <c r="G259" s="13">
        <f t="shared" si="101"/>
        <v>-9844</v>
      </c>
      <c r="H259" s="13">
        <f t="shared" si="101"/>
        <v>-16990</v>
      </c>
      <c r="I259" s="13">
        <f t="shared" si="101"/>
        <v>-13263</v>
      </c>
      <c r="J259" s="13">
        <f t="shared" si="101"/>
        <v>-17365</v>
      </c>
      <c r="K259" s="13">
        <f t="shared" si="101"/>
        <v>-19057</v>
      </c>
      <c r="L259" s="14">
        <f t="shared" si="101"/>
        <v>-44969</v>
      </c>
    </row>
    <row r="260" spans="1:12">
      <c r="A260" s="1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3"/>
    </row>
    <row r="261" spans="1:12">
      <c r="A261" s="12" t="s">
        <v>165</v>
      </c>
      <c r="B261" s="13">
        <f>IF(B259&lt;0,-B259/B246,"NA")</f>
        <v>6171.7355340866416</v>
      </c>
      <c r="C261" s="92" t="str">
        <f t="shared" ref="C261:L261" si="102">IF(C259&lt;0,-C259/C246,"NA")</f>
        <v>NA</v>
      </c>
      <c r="D261" s="92" t="str">
        <f t="shared" si="102"/>
        <v>NA</v>
      </c>
      <c r="E261" s="92" t="str">
        <f t="shared" si="102"/>
        <v>NA</v>
      </c>
      <c r="F261" s="13">
        <f t="shared" si="102"/>
        <v>19715.986523979391</v>
      </c>
      <c r="G261" s="13">
        <f t="shared" si="102"/>
        <v>19876.398475934657</v>
      </c>
      <c r="H261" s="13">
        <f t="shared" si="102"/>
        <v>39045.064108548839</v>
      </c>
      <c r="I261" s="13">
        <f t="shared" si="102"/>
        <v>27396.232684785755</v>
      </c>
      <c r="J261" s="13">
        <f t="shared" si="102"/>
        <v>32592.678647113673</v>
      </c>
      <c r="K261" s="13">
        <f t="shared" si="102"/>
        <v>36663.368480405981</v>
      </c>
      <c r="L261" s="14">
        <f t="shared" si="102"/>
        <v>100611.45400726331</v>
      </c>
    </row>
    <row r="262" spans="1:12">
      <c r="A262" s="12" t="s">
        <v>167</v>
      </c>
      <c r="B262" s="84">
        <f>IF(B259&lt;0,-B254/B242,"NA")</f>
        <v>0.6022851025342858</v>
      </c>
      <c r="C262" s="93" t="str">
        <f t="shared" ref="C262:L262" si="103">IF(C259&lt;0,-C254/C242,"NA")</f>
        <v>NA</v>
      </c>
      <c r="D262" s="93" t="str">
        <f t="shared" si="103"/>
        <v>NA</v>
      </c>
      <c r="E262" s="93" t="str">
        <f t="shared" si="103"/>
        <v>NA</v>
      </c>
      <c r="F262" s="93">
        <f t="shared" si="103"/>
        <v>0.60947939380300931</v>
      </c>
      <c r="G262" s="84">
        <f t="shared" si="103"/>
        <v>0.56643265636635742</v>
      </c>
      <c r="H262" s="84">
        <f t="shared" si="103"/>
        <v>0.55017570468071852</v>
      </c>
      <c r="I262" s="84">
        <f t="shared" si="103"/>
        <v>0.56487192445156142</v>
      </c>
      <c r="J262" s="84">
        <f t="shared" si="103"/>
        <v>0.63082038659561013</v>
      </c>
      <c r="K262" s="84">
        <f t="shared" si="103"/>
        <v>0.62719248805122196</v>
      </c>
      <c r="L262" s="90">
        <f t="shared" si="103"/>
        <v>0.69693482756320457</v>
      </c>
    </row>
    <row r="263" spans="1:12">
      <c r="A263" s="12" t="s">
        <v>166</v>
      </c>
      <c r="B263" s="13">
        <f>IF(B259&lt;0,-B259,"NA")</f>
        <v>3337</v>
      </c>
      <c r="C263" s="92" t="str">
        <f t="shared" ref="C263:L263" si="104">IF(C259&lt;0,-C259,"NA")</f>
        <v>NA</v>
      </c>
      <c r="D263" s="92" t="str">
        <f t="shared" si="104"/>
        <v>NA</v>
      </c>
      <c r="E263" s="92" t="str">
        <f t="shared" si="104"/>
        <v>NA</v>
      </c>
      <c r="F263" s="13">
        <f t="shared" si="104"/>
        <v>10422</v>
      </c>
      <c r="G263" s="13">
        <f t="shared" si="104"/>
        <v>9844</v>
      </c>
      <c r="H263" s="13">
        <f t="shared" si="104"/>
        <v>16990</v>
      </c>
      <c r="I263" s="13">
        <f t="shared" si="104"/>
        <v>13263</v>
      </c>
      <c r="J263" s="13">
        <f t="shared" si="104"/>
        <v>17365</v>
      </c>
      <c r="K263" s="13">
        <f t="shared" si="104"/>
        <v>19057</v>
      </c>
      <c r="L263" s="14">
        <f t="shared" si="104"/>
        <v>44969</v>
      </c>
    </row>
    <row r="264" spans="1:12" ht="15" thickBot="1">
      <c r="A264" s="30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2"/>
    </row>
  </sheetData>
  <conditionalFormatting sqref="B257:L257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/>
  <ignoredErrors>
    <ignoredError sqref="C83 D83:L83 E170" formula="1"/>
    <ignoredError sqref="L160 L1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Greg Beech</cp:lastModifiedBy>
  <dcterms:created xsi:type="dcterms:W3CDTF">2019-01-17T08:21:58Z</dcterms:created>
  <dcterms:modified xsi:type="dcterms:W3CDTF">2019-09-11T14:16:59Z</dcterms:modified>
</cp:coreProperties>
</file>